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M:\Grants\I-44 INFRA Discretionary Grant\Final Grant\"/>
    </mc:Choice>
  </mc:AlternateContent>
  <xr:revisionPtr revIDLastSave="0" documentId="8_{E94578F7-B24F-4CDF-82B9-FA9C77E0FF5C}" xr6:coauthVersionLast="47" xr6:coauthVersionMax="47" xr10:uidLastSave="{00000000-0000-0000-0000-000000000000}"/>
  <bookViews>
    <workbookView xWindow="-120" yWindow="-120" windowWidth="29040" windowHeight="15840" tabRatio="914" firstSheet="15" activeTab="15" xr2:uid="{94DE607C-179B-45F3-812B-4414A6CED599}"/>
  </bookViews>
  <sheets>
    <sheet name="Introduction" sheetId="23" r:id="rId1"/>
    <sheet name="BCA Result Summary" sheetId="2" r:id="rId2"/>
    <sheet name="BCA Discount Summary" sheetId="20" r:id="rId3"/>
    <sheet name="1. Travel Time Savings" sheetId="4" r:id="rId4"/>
    <sheet name="2. Safety" sheetId="6" r:id="rId5"/>
    <sheet name="3. Emissions" sheetId="7" r:id="rId6"/>
    <sheet name="4. O&amp;M" sheetId="9" r:id="rId7"/>
    <sheet name="5. SOGR" sheetId="16" r:id="rId8"/>
    <sheet name="6. Reliability" sheetId="12" r:id="rId9"/>
    <sheet name=" 7. Noise" sheetId="14" r:id="rId10"/>
    <sheet name="8. PED &amp; Cycling" sheetId="15" r:id="rId11"/>
    <sheet name="Fixed Inputs &amp; Assumptions" sheetId="1" r:id="rId12"/>
    <sheet name="Traffic Inputs" sheetId="18" r:id="rId13"/>
    <sheet name="HSM Safety Inputs" sheetId="22" r:id="rId14"/>
    <sheet name="Queue Attributed Crashes" sheetId="8" r:id="rId15"/>
    <sheet name="I-44 Incident Reports" sheetId="11" r:id="rId16"/>
  </sheets>
  <externalReferences>
    <externalReference r:id="rId17"/>
  </externalReferences>
  <definedNames>
    <definedName name="_xlnm._FilterDatabase" localSheetId="15" hidden="1">'I-44 Incident Reports'!$C$2:$C$122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9" i="2" l="1"/>
  <c r="E14" i="6"/>
  <c r="R8" i="1"/>
  <c r="S8" i="1"/>
  <c r="Q8" i="1"/>
  <c r="R7" i="1"/>
  <c r="S7" i="1"/>
  <c r="Q7" i="1"/>
  <c r="P4" i="1"/>
  <c r="O4" i="1"/>
  <c r="E9" i="14" l="1"/>
  <c r="E8" i="14"/>
  <c r="F9" i="12"/>
  <c r="F8" i="12"/>
  <c r="D10" i="7"/>
  <c r="D9" i="7"/>
  <c r="G9" i="6"/>
  <c r="F9" i="6"/>
  <c r="E9" i="6"/>
  <c r="D9" i="6"/>
  <c r="D8" i="6"/>
  <c r="G8" i="6"/>
  <c r="F8" i="6"/>
  <c r="E8" i="6"/>
  <c r="E9" i="4"/>
  <c r="E8" i="4"/>
  <c r="AH36" i="22"/>
  <c r="AG36" i="22"/>
  <c r="AE36" i="22"/>
  <c r="AD36" i="22"/>
  <c r="AC36" i="22"/>
  <c r="AB36" i="22"/>
  <c r="AA36" i="22"/>
  <c r="Z36" i="22"/>
  <c r="Y36" i="22"/>
  <c r="X36" i="22"/>
  <c r="W36" i="22"/>
  <c r="V36" i="22"/>
  <c r="U36" i="22"/>
  <c r="T36" i="22"/>
  <c r="S36" i="22"/>
  <c r="R36" i="22"/>
  <c r="Q36" i="22"/>
  <c r="P36" i="22"/>
  <c r="O36" i="22"/>
  <c r="N36" i="22"/>
  <c r="M36" i="22"/>
  <c r="K36" i="22"/>
  <c r="J36" i="22"/>
  <c r="I36" i="22"/>
  <c r="H36" i="22"/>
  <c r="G36" i="22"/>
  <c r="AF35" i="22"/>
  <c r="AB35" i="22" s="1"/>
  <c r="AE35" i="22"/>
  <c r="AD35" i="22"/>
  <c r="AC35" i="22"/>
  <c r="P35" i="22"/>
  <c r="O35" i="22"/>
  <c r="N35" i="22"/>
  <c r="M35" i="22"/>
  <c r="L35" i="22"/>
  <c r="AH34" i="22"/>
  <c r="AG34" i="22"/>
  <c r="AE34" i="22"/>
  <c r="AD34" i="22"/>
  <c r="AC34" i="22"/>
  <c r="AB34" i="22"/>
  <c r="AA34" i="22"/>
  <c r="Z34" i="22"/>
  <c r="Y34" i="22"/>
  <c r="X34" i="22"/>
  <c r="W34" i="22"/>
  <c r="V34" i="22"/>
  <c r="U34" i="22"/>
  <c r="T34" i="22"/>
  <c r="S34" i="22"/>
  <c r="R34" i="22"/>
  <c r="Q34" i="22"/>
  <c r="P34" i="22"/>
  <c r="O34" i="22"/>
  <c r="N34" i="22"/>
  <c r="M34" i="22"/>
  <c r="K34" i="22"/>
  <c r="J34" i="22"/>
  <c r="I34" i="22"/>
  <c r="H34" i="22"/>
  <c r="G34" i="22"/>
  <c r="AH33" i="22"/>
  <c r="AG33" i="22"/>
  <c r="AE33" i="22"/>
  <c r="AD33" i="22"/>
  <c r="AC33" i="22"/>
  <c r="AB33" i="22"/>
  <c r="AA33" i="22"/>
  <c r="Z33" i="22"/>
  <c r="Y33" i="22"/>
  <c r="X33" i="22"/>
  <c r="W33" i="22"/>
  <c r="V33" i="22"/>
  <c r="U33" i="22"/>
  <c r="T33" i="22"/>
  <c r="S33" i="22"/>
  <c r="R33" i="22"/>
  <c r="Q33" i="22"/>
  <c r="P33" i="22"/>
  <c r="O33" i="22"/>
  <c r="N33" i="22"/>
  <c r="M33" i="22"/>
  <c r="K33" i="22"/>
  <c r="J33" i="22"/>
  <c r="I33" i="22"/>
  <c r="H33" i="22"/>
  <c r="G33" i="22"/>
  <c r="AH29" i="22"/>
  <c r="AG29" i="22"/>
  <c r="AE29" i="22"/>
  <c r="AD29" i="22"/>
  <c r="AC29" i="22"/>
  <c r="AB29" i="22"/>
  <c r="AA29" i="22"/>
  <c r="Z29" i="22"/>
  <c r="Y29" i="22"/>
  <c r="X29" i="22"/>
  <c r="W29" i="22"/>
  <c r="V29" i="22"/>
  <c r="U29" i="22"/>
  <c r="T29" i="22"/>
  <c r="S29" i="22"/>
  <c r="R29" i="22"/>
  <c r="Q29" i="22"/>
  <c r="P29" i="22"/>
  <c r="O29" i="22"/>
  <c r="N29" i="22"/>
  <c r="M29" i="22"/>
  <c r="K29" i="22"/>
  <c r="J29" i="22"/>
  <c r="I29" i="22"/>
  <c r="H29" i="22"/>
  <c r="G29" i="22"/>
  <c r="AF28" i="22"/>
  <c r="AA28" i="22" s="1"/>
  <c r="AD28" i="22"/>
  <c r="AC28" i="22"/>
  <c r="N28" i="22"/>
  <c r="M28" i="22"/>
  <c r="L28" i="22"/>
  <c r="AB28" i="22" s="1"/>
  <c r="AH27" i="22"/>
  <c r="AG27" i="22"/>
  <c r="AE27" i="22"/>
  <c r="AD27" i="22"/>
  <c r="AC27" i="22"/>
  <c r="AB27" i="22"/>
  <c r="AA27" i="22"/>
  <c r="Z27" i="22"/>
  <c r="Y27" i="22"/>
  <c r="X27" i="22"/>
  <c r="W27" i="22"/>
  <c r="V27" i="22"/>
  <c r="U27" i="22"/>
  <c r="T27" i="22"/>
  <c r="S27" i="22"/>
  <c r="R27" i="22"/>
  <c r="Q27" i="22"/>
  <c r="P27" i="22"/>
  <c r="O27" i="22"/>
  <c r="N27" i="22"/>
  <c r="M27" i="22"/>
  <c r="K27" i="22"/>
  <c r="J27" i="22"/>
  <c r="I27" i="22"/>
  <c r="H27" i="22"/>
  <c r="G27" i="22"/>
  <c r="AH26" i="22"/>
  <c r="AG26" i="22"/>
  <c r="AE26" i="22"/>
  <c r="AD26" i="22"/>
  <c r="AC26" i="22"/>
  <c r="AB26" i="22"/>
  <c r="AA26" i="22"/>
  <c r="Z26" i="22"/>
  <c r="Y26" i="22"/>
  <c r="X26" i="22"/>
  <c r="W26" i="22"/>
  <c r="V26" i="22"/>
  <c r="U26" i="22"/>
  <c r="T26" i="22"/>
  <c r="S26" i="22"/>
  <c r="R26" i="22"/>
  <c r="Q26" i="22"/>
  <c r="P26" i="22"/>
  <c r="O26" i="22"/>
  <c r="N26" i="22"/>
  <c r="M26" i="22"/>
  <c r="K26" i="22"/>
  <c r="J26" i="22"/>
  <c r="I26" i="22"/>
  <c r="H26" i="22"/>
  <c r="G26" i="22"/>
  <c r="D26" i="22"/>
  <c r="E26" i="22"/>
  <c r="F26" i="22"/>
  <c r="D27" i="22"/>
  <c r="E27" i="22"/>
  <c r="F27" i="22"/>
  <c r="D28" i="22"/>
  <c r="E28" i="22"/>
  <c r="F28" i="22"/>
  <c r="D29" i="22"/>
  <c r="E29" i="22"/>
  <c r="F29" i="22"/>
  <c r="AH14" i="22"/>
  <c r="AG14" i="22"/>
  <c r="AE14" i="22"/>
  <c r="AD14" i="22"/>
  <c r="AC14" i="22"/>
  <c r="AB14" i="22"/>
  <c r="AA14" i="22"/>
  <c r="Z14" i="22"/>
  <c r="Y14" i="22"/>
  <c r="X14" i="22"/>
  <c r="W14" i="22"/>
  <c r="V14" i="22"/>
  <c r="U14" i="22"/>
  <c r="T14" i="22"/>
  <c r="S14" i="22"/>
  <c r="R14" i="22"/>
  <c r="Q14" i="22"/>
  <c r="P14" i="22"/>
  <c r="O14" i="22"/>
  <c r="N14" i="22"/>
  <c r="M14" i="22"/>
  <c r="K14" i="22"/>
  <c r="J14" i="22"/>
  <c r="I14" i="22"/>
  <c r="H14" i="22"/>
  <c r="G14" i="22"/>
  <c r="F14" i="22"/>
  <c r="E14" i="22"/>
  <c r="D14" i="22"/>
  <c r="AF13" i="22"/>
  <c r="AE13" i="22" s="1"/>
  <c r="L13" i="22"/>
  <c r="AH12" i="22"/>
  <c r="AG12" i="22"/>
  <c r="AE12" i="22"/>
  <c r="AD12" i="22"/>
  <c r="AC12" i="22"/>
  <c r="AB12" i="22"/>
  <c r="AA12" i="22"/>
  <c r="Z12" i="22"/>
  <c r="Y12" i="22"/>
  <c r="X12" i="22"/>
  <c r="W12" i="22"/>
  <c r="V12" i="22"/>
  <c r="U12" i="22"/>
  <c r="T12" i="22"/>
  <c r="S12" i="22"/>
  <c r="R12" i="22"/>
  <c r="Q12" i="22"/>
  <c r="P12" i="22"/>
  <c r="O12" i="22"/>
  <c r="N12" i="22"/>
  <c r="M12" i="22"/>
  <c r="K12" i="22"/>
  <c r="J12" i="22"/>
  <c r="I12" i="22"/>
  <c r="H12" i="22"/>
  <c r="G12" i="22"/>
  <c r="F12" i="22"/>
  <c r="E12" i="22"/>
  <c r="D12" i="22"/>
  <c r="AH11" i="22"/>
  <c r="AG11" i="22"/>
  <c r="AE11" i="22"/>
  <c r="AD11" i="22"/>
  <c r="AC11" i="22"/>
  <c r="AB11" i="22"/>
  <c r="AA11" i="22"/>
  <c r="Z11" i="22"/>
  <c r="Y11" i="22"/>
  <c r="X11" i="22"/>
  <c r="W11" i="22"/>
  <c r="V11" i="22"/>
  <c r="U11" i="22"/>
  <c r="T11" i="22"/>
  <c r="S11" i="22"/>
  <c r="R11" i="22"/>
  <c r="Q11" i="22"/>
  <c r="P11" i="22"/>
  <c r="O11" i="22"/>
  <c r="N11" i="22"/>
  <c r="M11" i="22"/>
  <c r="K11" i="22"/>
  <c r="J11" i="22"/>
  <c r="I11" i="22"/>
  <c r="H11" i="22"/>
  <c r="G11" i="22"/>
  <c r="F11" i="22"/>
  <c r="E11" i="22"/>
  <c r="D11" i="22"/>
  <c r="AH7" i="22"/>
  <c r="AG7" i="22"/>
  <c r="AE7" i="22"/>
  <c r="AD7" i="22"/>
  <c r="AC7" i="22"/>
  <c r="AB7" i="22"/>
  <c r="AA7" i="22"/>
  <c r="Z7" i="22"/>
  <c r="Y7" i="22"/>
  <c r="X7" i="22"/>
  <c r="W7" i="22"/>
  <c r="V7" i="22"/>
  <c r="U7" i="22"/>
  <c r="T7" i="22"/>
  <c r="S7" i="22"/>
  <c r="R7" i="22"/>
  <c r="Q7" i="22"/>
  <c r="P7" i="22"/>
  <c r="O7" i="22"/>
  <c r="N7" i="22"/>
  <c r="M7" i="22"/>
  <c r="K7" i="22"/>
  <c r="J7" i="22"/>
  <c r="I7" i="22"/>
  <c r="H7" i="22"/>
  <c r="G7" i="22"/>
  <c r="F7" i="22"/>
  <c r="E7" i="22"/>
  <c r="D7" i="22"/>
  <c r="AF6" i="22"/>
  <c r="AE6" i="22"/>
  <c r="AD6" i="22"/>
  <c r="AC6" i="22"/>
  <c r="O6" i="22"/>
  <c r="N6" i="22"/>
  <c r="M6" i="22"/>
  <c r="L6" i="22"/>
  <c r="AB6" i="22" s="1"/>
  <c r="AH5" i="22"/>
  <c r="AG5" i="22"/>
  <c r="AE5" i="22"/>
  <c r="AD5" i="22"/>
  <c r="AC5" i="22"/>
  <c r="AB5" i="22"/>
  <c r="AA5" i="22"/>
  <c r="Z5" i="22"/>
  <c r="Y5" i="22"/>
  <c r="X5" i="22"/>
  <c r="W5" i="22"/>
  <c r="V5" i="22"/>
  <c r="U5" i="22"/>
  <c r="T5" i="22"/>
  <c r="S5" i="22"/>
  <c r="R5" i="22"/>
  <c r="Q5" i="22"/>
  <c r="P5" i="22"/>
  <c r="O5" i="22"/>
  <c r="N5" i="22"/>
  <c r="M5" i="22"/>
  <c r="K5" i="22"/>
  <c r="J5" i="22"/>
  <c r="I5" i="22"/>
  <c r="H5" i="22"/>
  <c r="G5" i="22"/>
  <c r="F5" i="22"/>
  <c r="E5" i="22"/>
  <c r="D5" i="22"/>
  <c r="AH4" i="22"/>
  <c r="AG4" i="22"/>
  <c r="AE4" i="22"/>
  <c r="AD4" i="22"/>
  <c r="AC4" i="22"/>
  <c r="AB4" i="22"/>
  <c r="AA4" i="22"/>
  <c r="Z4" i="22"/>
  <c r="Y4" i="22"/>
  <c r="X4" i="22"/>
  <c r="W4" i="22"/>
  <c r="V4" i="22"/>
  <c r="U4" i="22"/>
  <c r="T4" i="22"/>
  <c r="S4" i="22"/>
  <c r="R4" i="22"/>
  <c r="Q4" i="22"/>
  <c r="P4" i="22"/>
  <c r="O4" i="22"/>
  <c r="N4" i="22"/>
  <c r="M4" i="22"/>
  <c r="K4" i="22"/>
  <c r="J4" i="22"/>
  <c r="I4" i="22"/>
  <c r="H4" i="22"/>
  <c r="G4" i="22"/>
  <c r="F4" i="22"/>
  <c r="E4" i="22"/>
  <c r="D4" i="22"/>
  <c r="Q35" i="22" l="1"/>
  <c r="AG35" i="22"/>
  <c r="R35" i="22"/>
  <c r="AH35" i="22"/>
  <c r="S35" i="22"/>
  <c r="T35" i="22"/>
  <c r="U35" i="22"/>
  <c r="V35" i="22"/>
  <c r="G35" i="22"/>
  <c r="W35" i="22"/>
  <c r="H35" i="22"/>
  <c r="X35" i="22"/>
  <c r="I35" i="22"/>
  <c r="Y35" i="22"/>
  <c r="J35" i="22"/>
  <c r="Z35" i="22"/>
  <c r="K35" i="22"/>
  <c r="AA35" i="22"/>
  <c r="O28" i="22"/>
  <c r="AE28" i="22"/>
  <c r="P28" i="22"/>
  <c r="Q28" i="22"/>
  <c r="AG28" i="22"/>
  <c r="R28" i="22"/>
  <c r="AH28" i="22"/>
  <c r="S28" i="22"/>
  <c r="T28" i="22"/>
  <c r="U28" i="22"/>
  <c r="V28" i="22"/>
  <c r="G28" i="22"/>
  <c r="W28" i="22"/>
  <c r="H28" i="22"/>
  <c r="X28" i="22"/>
  <c r="I28" i="22"/>
  <c r="Y28" i="22"/>
  <c r="J28" i="22"/>
  <c r="Z28" i="22"/>
  <c r="K28" i="22"/>
  <c r="Q13" i="22"/>
  <c r="AG13" i="22"/>
  <c r="R13" i="22"/>
  <c r="AH13" i="22"/>
  <c r="S13" i="22"/>
  <c r="D13" i="22"/>
  <c r="T13" i="22"/>
  <c r="E13" i="22"/>
  <c r="U13" i="22"/>
  <c r="P13" i="22"/>
  <c r="F13" i="22"/>
  <c r="V13" i="22"/>
  <c r="G13" i="22"/>
  <c r="W13" i="22"/>
  <c r="H13" i="22"/>
  <c r="X13" i="22"/>
  <c r="I13" i="22"/>
  <c r="Y13" i="22"/>
  <c r="J13" i="22"/>
  <c r="Z13" i="22"/>
  <c r="K13" i="22"/>
  <c r="AA13" i="22"/>
  <c r="AB13" i="22"/>
  <c r="M13" i="22"/>
  <c r="AC13" i="22"/>
  <c r="N13" i="22"/>
  <c r="AD13" i="22"/>
  <c r="O13" i="22"/>
  <c r="P6" i="22"/>
  <c r="Q6" i="22"/>
  <c r="AG6" i="22"/>
  <c r="R6" i="22"/>
  <c r="AH6" i="22"/>
  <c r="S6" i="22"/>
  <c r="D6" i="22"/>
  <c r="T6" i="22"/>
  <c r="E6" i="22"/>
  <c r="U6" i="22"/>
  <c r="F6" i="22"/>
  <c r="V6" i="22"/>
  <c r="G6" i="22"/>
  <c r="W6" i="22"/>
  <c r="H6" i="22"/>
  <c r="X6" i="22"/>
  <c r="I6" i="22"/>
  <c r="Y6" i="22"/>
  <c r="J6" i="22"/>
  <c r="Z6" i="22"/>
  <c r="K6" i="22"/>
  <c r="AA6" i="22"/>
  <c r="Z38" i="18" l="1"/>
  <c r="AO29" i="18"/>
  <c r="AL29" i="18"/>
  <c r="AM29" i="18" s="1"/>
  <c r="AH29" i="18"/>
  <c r="AI29" i="18" s="1"/>
  <c r="AC29" i="18"/>
  <c r="AD29" i="18" s="1"/>
  <c r="Z29" i="18"/>
  <c r="Y29" i="18"/>
  <c r="AL28" i="18"/>
  <c r="AM28" i="18" s="1"/>
  <c r="AH28" i="18"/>
  <c r="AI28" i="18" s="1"/>
  <c r="AC28" i="18"/>
  <c r="AD28" i="18" s="1"/>
  <c r="Z28" i="18"/>
  <c r="Y28" i="18"/>
  <c r="AO28" i="18" s="1"/>
  <c r="AO27" i="18"/>
  <c r="AM27" i="18"/>
  <c r="AL27" i="18"/>
  <c r="AH27" i="18"/>
  <c r="AI27" i="18" s="1"/>
  <c r="AD27" i="18"/>
  <c r="AC27" i="18"/>
  <c r="Y27" i="18"/>
  <c r="Z27" i="18" s="1"/>
  <c r="AO26" i="18"/>
  <c r="AL26" i="18"/>
  <c r="AM26" i="18" s="1"/>
  <c r="AH26" i="18"/>
  <c r="AI26" i="18" s="1"/>
  <c r="AD26" i="18"/>
  <c r="AC26" i="18"/>
  <c r="Y26" i="18"/>
  <c r="Z26" i="18" s="1"/>
  <c r="AO25" i="18"/>
  <c r="AL25" i="18"/>
  <c r="AM25" i="18" s="1"/>
  <c r="AI25" i="18"/>
  <c r="AH25" i="18"/>
  <c r="AC25" i="18"/>
  <c r="AD25" i="18" s="1"/>
  <c r="Z25" i="18"/>
  <c r="Y25" i="18"/>
  <c r="AL24" i="18"/>
  <c r="AM24" i="18" s="1"/>
  <c r="AI24" i="18"/>
  <c r="AH24" i="18"/>
  <c r="AC24" i="18"/>
  <c r="AD24" i="18" s="1"/>
  <c r="Y24" i="18"/>
  <c r="AO24" i="18" s="1"/>
  <c r="AO23" i="18"/>
  <c r="AM23" i="18"/>
  <c r="AL23" i="18"/>
  <c r="AH23" i="18"/>
  <c r="AI23" i="18" s="1"/>
  <c r="AD23" i="18"/>
  <c r="AC23" i="18"/>
  <c r="Z23" i="18"/>
  <c r="Y23" i="18"/>
  <c r="AO22" i="18"/>
  <c r="AM22" i="18"/>
  <c r="AL22" i="18"/>
  <c r="AH22" i="18"/>
  <c r="AI22" i="18" s="1"/>
  <c r="AC22" i="18"/>
  <c r="AD22" i="18" s="1"/>
  <c r="Z22" i="18"/>
  <c r="Y22" i="18"/>
  <c r="AL21" i="18"/>
  <c r="AM21" i="18" s="1"/>
  <c r="AI21" i="18"/>
  <c r="AH21" i="18"/>
  <c r="AD21" i="18"/>
  <c r="AC21" i="18"/>
  <c r="Z21" i="18"/>
  <c r="Y21" i="18"/>
  <c r="AO21" i="18" s="1"/>
  <c r="AO20" i="18"/>
  <c r="AL20" i="18"/>
  <c r="AM20" i="18" s="1"/>
  <c r="AH20" i="18"/>
  <c r="AI20" i="18" s="1"/>
  <c r="AD20" i="18"/>
  <c r="AC20" i="18"/>
  <c r="Z20" i="18"/>
  <c r="Y20" i="18"/>
  <c r="AM19" i="18"/>
  <c r="AL19" i="18"/>
  <c r="AI19" i="18"/>
  <c r="AH19" i="18"/>
  <c r="AD19" i="18"/>
  <c r="AC19" i="18"/>
  <c r="Y19" i="18"/>
  <c r="AO19" i="18" s="1"/>
  <c r="AL18" i="18"/>
  <c r="AM18" i="18" s="1"/>
  <c r="AI18" i="18"/>
  <c r="AH18" i="18"/>
  <c r="AD18" i="18"/>
  <c r="AC18" i="18"/>
  <c r="Y18" i="18"/>
  <c r="Z18" i="18" s="1"/>
  <c r="AM17" i="18"/>
  <c r="AL17" i="18"/>
  <c r="AH17" i="18"/>
  <c r="AI17" i="18" s="1"/>
  <c r="AC17" i="18"/>
  <c r="AD17" i="18" s="1"/>
  <c r="Z17" i="18"/>
  <c r="Y17" i="18"/>
  <c r="AO17" i="18" s="1"/>
  <c r="AO16" i="18"/>
  <c r="AM16" i="18"/>
  <c r="AL16" i="18"/>
  <c r="AI16" i="18"/>
  <c r="AH16" i="18"/>
  <c r="AC16" i="18"/>
  <c r="AD16" i="18" s="1"/>
  <c r="Y16" i="18"/>
  <c r="Z16" i="18" s="1"/>
  <c r="AL15" i="18"/>
  <c r="AM15" i="18" s="1"/>
  <c r="AH15" i="18"/>
  <c r="AI15" i="18" s="1"/>
  <c r="AD15" i="18"/>
  <c r="AC15" i="18"/>
  <c r="Y15" i="18"/>
  <c r="AO15" i="18" s="1"/>
  <c r="AM14" i="18"/>
  <c r="AL14" i="18"/>
  <c r="AH14" i="18"/>
  <c r="AI14" i="18" s="1"/>
  <c r="AC14" i="18"/>
  <c r="AD14" i="18" s="1"/>
  <c r="Y14" i="18"/>
  <c r="AO14" i="18" s="1"/>
  <c r="AO13" i="18"/>
  <c r="AL13" i="18"/>
  <c r="AM13" i="18" s="1"/>
  <c r="AI13" i="18"/>
  <c r="AH13" i="18"/>
  <c r="AC13" i="18"/>
  <c r="AD13" i="18" s="1"/>
  <c r="Z13" i="18"/>
  <c r="Y13" i="18"/>
  <c r="AL12" i="18"/>
  <c r="AM12" i="18" s="1"/>
  <c r="AH12" i="18"/>
  <c r="AI12" i="18" s="1"/>
  <c r="AC12" i="18"/>
  <c r="AD12" i="18" s="1"/>
  <c r="Z12" i="18"/>
  <c r="Y12" i="18"/>
  <c r="AO12" i="18" s="1"/>
  <c r="AO11" i="18"/>
  <c r="AM11" i="18"/>
  <c r="AL11" i="18"/>
  <c r="AH11" i="18"/>
  <c r="AI11" i="18" s="1"/>
  <c r="AD11" i="18"/>
  <c r="AC11" i="18"/>
  <c r="Z11" i="18"/>
  <c r="Y11" i="18"/>
  <c r="AO10" i="18"/>
  <c r="AL10" i="18"/>
  <c r="AM10" i="18" s="1"/>
  <c r="AH10" i="18"/>
  <c r="AI10" i="18" s="1"/>
  <c r="AD10" i="18"/>
  <c r="AC10" i="18"/>
  <c r="Y10" i="18"/>
  <c r="Z10" i="18" s="1"/>
  <c r="AO9" i="18"/>
  <c r="AL9" i="18"/>
  <c r="AM9" i="18" s="1"/>
  <c r="AI9" i="18"/>
  <c r="AH9" i="18"/>
  <c r="AD9" i="18"/>
  <c r="AC9" i="18"/>
  <c r="Z9" i="18"/>
  <c r="Y9" i="18"/>
  <c r="AL8" i="18"/>
  <c r="AM8" i="18" s="1"/>
  <c r="AI8" i="18"/>
  <c r="AH8" i="18"/>
  <c r="AC8" i="18"/>
  <c r="AD8" i="18" s="1"/>
  <c r="Y8" i="18"/>
  <c r="AO8" i="18" s="1"/>
  <c r="AO7" i="18"/>
  <c r="AM7" i="18"/>
  <c r="AL7" i="18"/>
  <c r="AI7" i="18"/>
  <c r="AH7" i="18"/>
  <c r="AD7" i="18"/>
  <c r="AC7" i="18"/>
  <c r="Z7" i="18"/>
  <c r="Y7" i="18"/>
  <c r="AO6" i="18"/>
  <c r="AM6" i="18"/>
  <c r="AL6" i="18"/>
  <c r="AH6" i="18"/>
  <c r="AI6" i="18" s="1"/>
  <c r="AC6" i="18"/>
  <c r="AD6" i="18" s="1"/>
  <c r="Z6" i="18"/>
  <c r="Y6" i="18"/>
  <c r="F38" i="18"/>
  <c r="S29" i="18"/>
  <c r="R29" i="18"/>
  <c r="O29" i="18"/>
  <c r="N29" i="18"/>
  <c r="J29" i="18"/>
  <c r="I29" i="18"/>
  <c r="F29" i="18"/>
  <c r="E29" i="18"/>
  <c r="R28" i="18"/>
  <c r="S28" i="18" s="1"/>
  <c r="N28" i="18"/>
  <c r="O28" i="18" s="1"/>
  <c r="J28" i="18"/>
  <c r="I28" i="18"/>
  <c r="E28" i="18"/>
  <c r="F28" i="18" s="1"/>
  <c r="S27" i="18"/>
  <c r="R27" i="18"/>
  <c r="O27" i="18"/>
  <c r="N27" i="18"/>
  <c r="J27" i="18"/>
  <c r="I27" i="18"/>
  <c r="F27" i="18"/>
  <c r="E27" i="18"/>
  <c r="R26" i="18"/>
  <c r="S26" i="18" s="1"/>
  <c r="N26" i="18"/>
  <c r="O26" i="18" s="1"/>
  <c r="J26" i="18"/>
  <c r="I26" i="18"/>
  <c r="E26" i="18"/>
  <c r="F26" i="18" s="1"/>
  <c r="S25" i="18"/>
  <c r="R25" i="18"/>
  <c r="O25" i="18"/>
  <c r="N25" i="18"/>
  <c r="J25" i="18"/>
  <c r="I25" i="18"/>
  <c r="F25" i="18"/>
  <c r="E25" i="18"/>
  <c r="R24" i="18"/>
  <c r="S24" i="18" s="1"/>
  <c r="N24" i="18"/>
  <c r="O24" i="18" s="1"/>
  <c r="J24" i="18"/>
  <c r="I24" i="18"/>
  <c r="E24" i="18"/>
  <c r="F24" i="18" s="1"/>
  <c r="S23" i="18"/>
  <c r="R23" i="18"/>
  <c r="O23" i="18"/>
  <c r="N23" i="18"/>
  <c r="J23" i="18"/>
  <c r="I23" i="18"/>
  <c r="F23" i="18"/>
  <c r="E23" i="18"/>
  <c r="R22" i="18"/>
  <c r="S22" i="18" s="1"/>
  <c r="N22" i="18"/>
  <c r="O22" i="18" s="1"/>
  <c r="J22" i="18"/>
  <c r="I22" i="18"/>
  <c r="E22" i="18"/>
  <c r="F22" i="18" s="1"/>
  <c r="S21" i="18"/>
  <c r="R21" i="18"/>
  <c r="O21" i="18"/>
  <c r="N21" i="18"/>
  <c r="J21" i="18"/>
  <c r="I21" i="18"/>
  <c r="F21" i="18"/>
  <c r="E21" i="18"/>
  <c r="R20" i="18"/>
  <c r="S20" i="18" s="1"/>
  <c r="N20" i="18"/>
  <c r="O20" i="18" s="1"/>
  <c r="J20" i="18"/>
  <c r="I20" i="18"/>
  <c r="E20" i="18"/>
  <c r="F20" i="18" s="1"/>
  <c r="S19" i="18"/>
  <c r="R19" i="18"/>
  <c r="O19" i="18"/>
  <c r="N19" i="18"/>
  <c r="J19" i="18"/>
  <c r="I19" i="18"/>
  <c r="F19" i="18"/>
  <c r="E19" i="18"/>
  <c r="R18" i="18"/>
  <c r="S18" i="18" s="1"/>
  <c r="N18" i="18"/>
  <c r="O18" i="18" s="1"/>
  <c r="J18" i="18"/>
  <c r="I18" i="18"/>
  <c r="E18" i="18"/>
  <c r="F18" i="18" s="1"/>
  <c r="S17" i="18"/>
  <c r="R17" i="18"/>
  <c r="O17" i="18"/>
  <c r="N17" i="18"/>
  <c r="J17" i="18"/>
  <c r="I17" i="18"/>
  <c r="F17" i="18"/>
  <c r="E17" i="18"/>
  <c r="R16" i="18"/>
  <c r="S16" i="18" s="1"/>
  <c r="N16" i="18"/>
  <c r="O16" i="18" s="1"/>
  <c r="J16" i="18"/>
  <c r="I16" i="18"/>
  <c r="E16" i="18"/>
  <c r="F16" i="18" s="1"/>
  <c r="S15" i="18"/>
  <c r="R15" i="18"/>
  <c r="O15" i="18"/>
  <c r="N15" i="18"/>
  <c r="J15" i="18"/>
  <c r="I15" i="18"/>
  <c r="F15" i="18"/>
  <c r="E15" i="18"/>
  <c r="R14" i="18"/>
  <c r="S14" i="18" s="1"/>
  <c r="N14" i="18"/>
  <c r="O14" i="18" s="1"/>
  <c r="J14" i="18"/>
  <c r="I14" i="18"/>
  <c r="E14" i="18"/>
  <c r="F14" i="18" s="1"/>
  <c r="S13" i="18"/>
  <c r="R13" i="18"/>
  <c r="O13" i="18"/>
  <c r="N13" i="18"/>
  <c r="J13" i="18"/>
  <c r="I13" i="18"/>
  <c r="F13" i="18"/>
  <c r="E13" i="18"/>
  <c r="R12" i="18"/>
  <c r="S12" i="18" s="1"/>
  <c r="N12" i="18"/>
  <c r="O12" i="18" s="1"/>
  <c r="J12" i="18"/>
  <c r="I12" i="18"/>
  <c r="E12" i="18"/>
  <c r="F12" i="18" s="1"/>
  <c r="S11" i="18"/>
  <c r="R11" i="18"/>
  <c r="O11" i="18"/>
  <c r="N11" i="18"/>
  <c r="J11" i="18"/>
  <c r="I11" i="18"/>
  <c r="F11" i="18"/>
  <c r="E11" i="18"/>
  <c r="R10" i="18"/>
  <c r="S10" i="18" s="1"/>
  <c r="N10" i="18"/>
  <c r="O10" i="18" s="1"/>
  <c r="J10" i="18"/>
  <c r="I10" i="18"/>
  <c r="E10" i="18"/>
  <c r="F10" i="18" s="1"/>
  <c r="S9" i="18"/>
  <c r="R9" i="18"/>
  <c r="O9" i="18"/>
  <c r="N9" i="18"/>
  <c r="J9" i="18"/>
  <c r="I9" i="18"/>
  <c r="F9" i="18"/>
  <c r="E9" i="18"/>
  <c r="R8" i="18"/>
  <c r="S8" i="18" s="1"/>
  <c r="N8" i="18"/>
  <c r="O8" i="18" s="1"/>
  <c r="J8" i="18"/>
  <c r="I8" i="18"/>
  <c r="E8" i="18"/>
  <c r="F8" i="18" s="1"/>
  <c r="S7" i="18"/>
  <c r="R7" i="18"/>
  <c r="O7" i="18"/>
  <c r="N7" i="18"/>
  <c r="J7" i="18"/>
  <c r="I7" i="18"/>
  <c r="F7" i="18"/>
  <c r="E7" i="18"/>
  <c r="R6" i="18"/>
  <c r="S6" i="18" s="1"/>
  <c r="N6" i="18"/>
  <c r="O6" i="18" s="1"/>
  <c r="J6" i="18"/>
  <c r="J30" i="18" s="1"/>
  <c r="I6" i="18"/>
  <c r="E6" i="18"/>
  <c r="F6" i="18" s="1"/>
  <c r="Z30" i="18" l="1"/>
  <c r="Z34" i="18" s="1"/>
  <c r="AD30" i="18"/>
  <c r="AI30" i="18"/>
  <c r="AM30" i="18"/>
  <c r="Z8" i="18"/>
  <c r="Z24" i="18"/>
  <c r="AO18" i="18"/>
  <c r="Z15" i="18"/>
  <c r="Z19" i="18"/>
  <c r="Z14" i="18"/>
  <c r="F30" i="18"/>
  <c r="F34" i="18" s="1"/>
  <c r="O30" i="18"/>
  <c r="S30" i="18"/>
  <c r="F35" i="18" s="1"/>
  <c r="Z36" i="18" l="1"/>
  <c r="Z40" i="18" s="1"/>
  <c r="Z35" i="18"/>
  <c r="F36" i="18"/>
  <c r="F40" i="18" s="1"/>
  <c r="E30" i="16" l="1"/>
  <c r="E22" i="16"/>
  <c r="E14" i="16"/>
  <c r="D132" i="11"/>
  <c r="D130" i="11"/>
  <c r="H3" i="22"/>
  <c r="I3" i="22"/>
  <c r="J3" i="22" s="1"/>
  <c r="J32" i="22" s="1"/>
  <c r="G10" i="22"/>
  <c r="H10" i="22"/>
  <c r="I10" i="22"/>
  <c r="G17" i="22"/>
  <c r="H17" i="22"/>
  <c r="I17" i="22"/>
  <c r="G25" i="22"/>
  <c r="H25" i="22"/>
  <c r="I25" i="22"/>
  <c r="A26" i="22"/>
  <c r="A48" i="22" s="1"/>
  <c r="G32" i="22"/>
  <c r="H32" i="22"/>
  <c r="I32" i="22"/>
  <c r="A33" i="22"/>
  <c r="G39" i="22"/>
  <c r="H39" i="22"/>
  <c r="I39" i="22"/>
  <c r="A40" i="22"/>
  <c r="A62" i="22" s="1"/>
  <c r="G47" i="22"/>
  <c r="H47" i="22"/>
  <c r="I47" i="22"/>
  <c r="L48" i="22"/>
  <c r="AF48" i="22"/>
  <c r="D32" i="6" s="1"/>
  <c r="L49" i="22"/>
  <c r="AF49" i="22"/>
  <c r="L50" i="22"/>
  <c r="AF50" i="22"/>
  <c r="L51" i="22"/>
  <c r="AF51" i="22"/>
  <c r="G54" i="22"/>
  <c r="H54" i="22"/>
  <c r="I54" i="22"/>
  <c r="A55" i="22"/>
  <c r="L55" i="22"/>
  <c r="D12" i="6" s="1"/>
  <c r="AF55" i="22"/>
  <c r="L56" i="22"/>
  <c r="E12" i="6" s="1"/>
  <c r="AF56" i="22"/>
  <c r="L57" i="22"/>
  <c r="AF57" i="22"/>
  <c r="L58" i="22"/>
  <c r="AF58" i="22"/>
  <c r="G61" i="22"/>
  <c r="H61" i="22"/>
  <c r="I61" i="22"/>
  <c r="L62" i="22"/>
  <c r="AF62" i="22"/>
  <c r="L63" i="22"/>
  <c r="AF63" i="22"/>
  <c r="L64" i="22"/>
  <c r="AF64" i="22"/>
  <c r="L65" i="22"/>
  <c r="AF65" i="22"/>
  <c r="F32" i="6" l="1"/>
  <c r="F12" i="6"/>
  <c r="E32" i="6"/>
  <c r="G32" i="6"/>
  <c r="G12" i="6"/>
  <c r="J17" i="22"/>
  <c r="K3" i="22"/>
  <c r="J25" i="22"/>
  <c r="J39" i="22"/>
  <c r="J61" i="22"/>
  <c r="J10" i="22"/>
  <c r="J54" i="22"/>
  <c r="J47" i="22"/>
  <c r="K17" i="22" l="1"/>
  <c r="L3" i="22"/>
  <c r="K25" i="22"/>
  <c r="K39" i="22"/>
  <c r="K61" i="22"/>
  <c r="K10" i="22"/>
  <c r="K54" i="22"/>
  <c r="K32" i="22"/>
  <c r="K47" i="22"/>
  <c r="L17" i="22" l="1"/>
  <c r="M3" i="22"/>
  <c r="L25" i="22"/>
  <c r="L39" i="22"/>
  <c r="L61" i="22"/>
  <c r="L10" i="22"/>
  <c r="L54" i="22"/>
  <c r="L32" i="22"/>
  <c r="L47" i="22"/>
  <c r="M32" i="22" l="1"/>
  <c r="M17" i="22"/>
  <c r="N3" i="22"/>
  <c r="M25" i="22"/>
  <c r="M39" i="22"/>
  <c r="M61" i="22"/>
  <c r="M54" i="22"/>
  <c r="M10" i="22"/>
  <c r="M47" i="22"/>
  <c r="N32" i="22" l="1"/>
  <c r="N17" i="22"/>
  <c r="O3" i="22"/>
  <c r="N25" i="22"/>
  <c r="N39" i="22"/>
  <c r="N61" i="22"/>
  <c r="N47" i="22"/>
  <c r="N10" i="22"/>
  <c r="N54" i="22"/>
  <c r="O47" i="22" l="1"/>
  <c r="O32" i="22"/>
  <c r="O17" i="22"/>
  <c r="P3" i="22"/>
  <c r="O25" i="22"/>
  <c r="O39" i="22"/>
  <c r="O54" i="22"/>
  <c r="O61" i="22"/>
  <c r="O10" i="22"/>
  <c r="P47" i="22" l="1"/>
  <c r="P32" i="22"/>
  <c r="P17" i="22"/>
  <c r="Q3" i="22"/>
  <c r="P25" i="22"/>
  <c r="P39" i="22"/>
  <c r="P10" i="22"/>
  <c r="P54" i="22"/>
  <c r="P61" i="22"/>
  <c r="Q10" i="22" l="1"/>
  <c r="Q54" i="22"/>
  <c r="Q47" i="22"/>
  <c r="Q32" i="22"/>
  <c r="Q17" i="22"/>
  <c r="R3" i="22"/>
  <c r="Q61" i="22"/>
  <c r="Q25" i="22"/>
  <c r="Q39" i="22"/>
  <c r="R10" i="22" l="1"/>
  <c r="R54" i="22"/>
  <c r="R47" i="22"/>
  <c r="R32" i="22"/>
  <c r="R17" i="22"/>
  <c r="S3" i="22"/>
  <c r="R61" i="22"/>
  <c r="R25" i="22"/>
  <c r="R39" i="22"/>
  <c r="S61" i="22" l="1"/>
  <c r="S10" i="22"/>
  <c r="S54" i="22"/>
  <c r="S47" i="22"/>
  <c r="S32" i="22"/>
  <c r="S17" i="22"/>
  <c r="T3" i="22"/>
  <c r="S25" i="22"/>
  <c r="S39" i="22"/>
  <c r="T61" i="22" l="1"/>
  <c r="T10" i="22"/>
  <c r="T54" i="22"/>
  <c r="T47" i="22"/>
  <c r="T32" i="22"/>
  <c r="T17" i="22"/>
  <c r="U3" i="22"/>
  <c r="T25" i="22"/>
  <c r="T39" i="22"/>
  <c r="U25" i="22" l="1"/>
  <c r="U39" i="22"/>
  <c r="U61" i="22"/>
  <c r="U10" i="22"/>
  <c r="U54" i="22"/>
  <c r="U47" i="22"/>
  <c r="U32" i="22"/>
  <c r="U17" i="22"/>
  <c r="V3" i="22"/>
  <c r="V25" i="22" l="1"/>
  <c r="V39" i="22"/>
  <c r="V10" i="22"/>
  <c r="V54" i="22"/>
  <c r="V47" i="22"/>
  <c r="V32" i="22"/>
  <c r="W3" i="22"/>
  <c r="V61" i="22"/>
  <c r="V17" i="22"/>
  <c r="X3" i="22" l="1"/>
  <c r="W25" i="22"/>
  <c r="W39" i="22"/>
  <c r="W10" i="22"/>
  <c r="W54" i="22"/>
  <c r="W47" i="22"/>
  <c r="W32" i="22"/>
  <c r="W61" i="22"/>
  <c r="W17" i="22"/>
  <c r="Y3" i="22" l="1"/>
  <c r="X25" i="22"/>
  <c r="X39" i="22"/>
  <c r="X61" i="22"/>
  <c r="X10" i="22"/>
  <c r="X54" i="22"/>
  <c r="X47" i="22"/>
  <c r="X32" i="22"/>
  <c r="X17" i="22"/>
  <c r="Z3" i="22" l="1"/>
  <c r="Y25" i="22"/>
  <c r="Y39" i="22"/>
  <c r="Y61" i="22"/>
  <c r="Y10" i="22"/>
  <c r="Y54" i="22"/>
  <c r="Y47" i="22"/>
  <c r="Y17" i="22"/>
  <c r="Y32" i="22"/>
  <c r="Z17" i="22" l="1"/>
  <c r="AA3" i="22"/>
  <c r="Z25" i="22"/>
  <c r="Z39" i="22"/>
  <c r="Z61" i="22"/>
  <c r="Z10" i="22"/>
  <c r="Z54" i="22"/>
  <c r="Z47" i="22"/>
  <c r="Z32" i="22"/>
  <c r="AA17" i="22" l="1"/>
  <c r="AB3" i="22"/>
  <c r="AA25" i="22"/>
  <c r="AA39" i="22"/>
  <c r="AA61" i="22"/>
  <c r="AA10" i="22"/>
  <c r="AA54" i="22"/>
  <c r="AA47" i="22"/>
  <c r="AA32" i="22"/>
  <c r="AB17" i="22" l="1"/>
  <c r="AC3" i="22"/>
  <c r="AB25" i="22"/>
  <c r="AB39" i="22"/>
  <c r="AB61" i="22"/>
  <c r="AB10" i="22"/>
  <c r="AB54" i="22"/>
  <c r="AB32" i="22"/>
  <c r="AB47" i="22"/>
  <c r="AC32" i="22" l="1"/>
  <c r="AC17" i="22"/>
  <c r="AD3" i="22"/>
  <c r="AC25" i="22"/>
  <c r="AC39" i="22"/>
  <c r="AC61" i="22"/>
  <c r="AC54" i="22"/>
  <c r="AC10" i="22"/>
  <c r="AC47" i="22"/>
  <c r="AD32" i="22" l="1"/>
  <c r="AD17" i="22"/>
  <c r="AE3" i="22"/>
  <c r="AD25" i="22"/>
  <c r="AD39" i="22"/>
  <c r="AD61" i="22"/>
  <c r="AD47" i="22"/>
  <c r="AD54" i="22"/>
  <c r="AD10" i="22"/>
  <c r="AE47" i="22" l="1"/>
  <c r="AE32" i="22"/>
  <c r="AE17" i="22"/>
  <c r="AF3" i="22"/>
  <c r="AE25" i="22"/>
  <c r="AE39" i="22"/>
  <c r="AE54" i="22"/>
  <c r="AE61" i="22"/>
  <c r="AE10" i="22"/>
  <c r="D34" i="22" l="1"/>
  <c r="D56" i="22" s="1"/>
  <c r="F36" i="22"/>
  <c r="F58" i="22" s="1"/>
  <c r="K18" i="22"/>
  <c r="AB18" i="22"/>
  <c r="N19" i="22"/>
  <c r="AD19" i="22"/>
  <c r="P20" i="22"/>
  <c r="R21" i="22"/>
  <c r="V40" i="22"/>
  <c r="G41" i="22"/>
  <c r="X41" i="22"/>
  <c r="X63" i="22" s="1"/>
  <c r="I42" i="22"/>
  <c r="I64" i="22" s="1"/>
  <c r="Z42" i="22"/>
  <c r="K43" i="22"/>
  <c r="AB43" i="22"/>
  <c r="E34" i="22"/>
  <c r="E56" i="22" s="1"/>
  <c r="M18" i="22"/>
  <c r="AC18" i="22"/>
  <c r="O19" i="22"/>
  <c r="AE19" i="22"/>
  <c r="Q20" i="22"/>
  <c r="S21" i="22"/>
  <c r="W40" i="22"/>
  <c r="W62" i="22" s="1"/>
  <c r="H41" i="22"/>
  <c r="Y41" i="22"/>
  <c r="J42" i="22"/>
  <c r="AA42" i="22"/>
  <c r="M43" i="22"/>
  <c r="AC43" i="22"/>
  <c r="AF47" i="22"/>
  <c r="D33" i="22"/>
  <c r="D55" i="22" s="1"/>
  <c r="F34" i="22"/>
  <c r="F56" i="22" s="1"/>
  <c r="N18" i="22"/>
  <c r="AD18" i="22"/>
  <c r="P19" i="22"/>
  <c r="R20" i="22"/>
  <c r="T21" i="22"/>
  <c r="K51" i="22"/>
  <c r="AB51" i="22"/>
  <c r="G28" i="6" s="1"/>
  <c r="P55" i="22"/>
  <c r="G40" i="22"/>
  <c r="X40" i="22"/>
  <c r="I41" i="22"/>
  <c r="Z41" i="22"/>
  <c r="K42" i="22"/>
  <c r="AB42" i="22"/>
  <c r="N43" i="22"/>
  <c r="AD43" i="22"/>
  <c r="E33" i="22"/>
  <c r="E55" i="22" s="1"/>
  <c r="O18" i="22"/>
  <c r="AE18" i="22"/>
  <c r="Q19" i="22"/>
  <c r="S20" i="22"/>
  <c r="D21" i="22"/>
  <c r="D43" i="22" s="1"/>
  <c r="D65" i="22" s="1"/>
  <c r="U21" i="22"/>
  <c r="H48" i="22"/>
  <c r="Y48" i="22"/>
  <c r="AF32" i="22"/>
  <c r="H40" i="22"/>
  <c r="Y40" i="22"/>
  <c r="J41" i="22"/>
  <c r="AA41" i="22"/>
  <c r="M42" i="22"/>
  <c r="M64" i="22" s="1"/>
  <c r="AC42" i="22"/>
  <c r="AC64" i="22" s="1"/>
  <c r="O43" i="22"/>
  <c r="O65" i="22" s="1"/>
  <c r="AE43" i="22"/>
  <c r="F33" i="22"/>
  <c r="F55" i="22" s="1"/>
  <c r="P18" i="22"/>
  <c r="AG18" i="22"/>
  <c r="R19" i="22"/>
  <c r="T20" i="22"/>
  <c r="E21" i="22"/>
  <c r="E43" i="22" s="1"/>
  <c r="E65" i="22" s="1"/>
  <c r="V21" i="22"/>
  <c r="I48" i="22"/>
  <c r="Z48" i="22"/>
  <c r="K49" i="22"/>
  <c r="AB49" i="22"/>
  <c r="E28" i="6" s="1"/>
  <c r="N51" i="22"/>
  <c r="AD51" i="22"/>
  <c r="G30" i="6" s="1"/>
  <c r="V58" i="22"/>
  <c r="I40" i="22"/>
  <c r="I62" i="22" s="1"/>
  <c r="Z40" i="22"/>
  <c r="K41" i="22"/>
  <c r="AB41" i="22"/>
  <c r="N42" i="22"/>
  <c r="AD42" i="22"/>
  <c r="P43" i="22"/>
  <c r="Q18" i="22"/>
  <c r="S19" i="22"/>
  <c r="D20" i="22"/>
  <c r="D42" i="22" s="1"/>
  <c r="D64" i="22" s="1"/>
  <c r="U20" i="22"/>
  <c r="F21" i="22"/>
  <c r="F43" i="22" s="1"/>
  <c r="F65" i="22" s="1"/>
  <c r="W21" i="22"/>
  <c r="J48" i="22"/>
  <c r="AA48" i="22"/>
  <c r="M49" i="22"/>
  <c r="AC49" i="22"/>
  <c r="O51" i="22"/>
  <c r="AE51" i="22"/>
  <c r="S55" i="22"/>
  <c r="U56" i="22"/>
  <c r="W58" i="22"/>
  <c r="J40" i="22"/>
  <c r="AA40" i="22"/>
  <c r="M41" i="22"/>
  <c r="AC41" i="22"/>
  <c r="O42" i="22"/>
  <c r="AE42" i="22"/>
  <c r="Q43" i="22"/>
  <c r="AF17" i="22"/>
  <c r="R18" i="22"/>
  <c r="T19" i="22"/>
  <c r="E20" i="22"/>
  <c r="E42" i="22" s="1"/>
  <c r="E64" i="22" s="1"/>
  <c r="V20" i="22"/>
  <c r="G21" i="22"/>
  <c r="X21" i="22"/>
  <c r="K48" i="22"/>
  <c r="AB48" i="22"/>
  <c r="N49" i="22"/>
  <c r="AD49" i="22"/>
  <c r="P51" i="22"/>
  <c r="T55" i="22"/>
  <c r="V56" i="22"/>
  <c r="K40" i="22"/>
  <c r="K62" i="22" s="1"/>
  <c r="AB40" i="22"/>
  <c r="AB62" i="22" s="1"/>
  <c r="N41" i="22"/>
  <c r="AD41" i="22"/>
  <c r="P42" i="22"/>
  <c r="AG42" i="22"/>
  <c r="R43" i="22"/>
  <c r="R65" i="22" s="1"/>
  <c r="D51" i="22"/>
  <c r="S18" i="22"/>
  <c r="D19" i="22"/>
  <c r="D41" i="22" s="1"/>
  <c r="D63" i="22" s="1"/>
  <c r="U19" i="22"/>
  <c r="F20" i="22"/>
  <c r="F42" i="22" s="1"/>
  <c r="F64" i="22" s="1"/>
  <c r="W20" i="22"/>
  <c r="H21" i="22"/>
  <c r="Y21" i="22"/>
  <c r="M48" i="22"/>
  <c r="AC48" i="22"/>
  <c r="W56" i="22"/>
  <c r="H58" i="22"/>
  <c r="Y58" i="22"/>
  <c r="M40" i="22"/>
  <c r="AC40" i="22"/>
  <c r="O41" i="22"/>
  <c r="O63" i="22" s="1"/>
  <c r="AE41" i="22"/>
  <c r="AE63" i="22" s="1"/>
  <c r="Q42" i="22"/>
  <c r="Q64" i="22" s="1"/>
  <c r="S43" i="22"/>
  <c r="S65" i="22" s="1"/>
  <c r="E51" i="22"/>
  <c r="T18" i="22"/>
  <c r="E19" i="22"/>
  <c r="E41" i="22" s="1"/>
  <c r="E63" i="22" s="1"/>
  <c r="V19" i="22"/>
  <c r="G20" i="22"/>
  <c r="X20" i="22"/>
  <c r="I21" i="22"/>
  <c r="Z21" i="22"/>
  <c r="N48" i="22"/>
  <c r="AD48" i="22"/>
  <c r="P49" i="22"/>
  <c r="R51" i="22"/>
  <c r="V55" i="22"/>
  <c r="X56" i="22"/>
  <c r="I58" i="22"/>
  <c r="Z58" i="22"/>
  <c r="N40" i="22"/>
  <c r="N62" i="22" s="1"/>
  <c r="AD40" i="22"/>
  <c r="AD62" i="22" s="1"/>
  <c r="P41" i="22"/>
  <c r="P63" i="22" s="1"/>
  <c r="R42" i="22"/>
  <c r="R64" i="22" s="1"/>
  <c r="T43" i="22"/>
  <c r="T65" i="22" s="1"/>
  <c r="AG3" i="22"/>
  <c r="D49" i="22"/>
  <c r="F51" i="22"/>
  <c r="D18" i="22"/>
  <c r="D40" i="22" s="1"/>
  <c r="D62" i="22" s="1"/>
  <c r="U18" i="22"/>
  <c r="F19" i="22"/>
  <c r="F41" i="22" s="1"/>
  <c r="F63" i="22" s="1"/>
  <c r="W19" i="22"/>
  <c r="H20" i="22"/>
  <c r="Y20" i="22"/>
  <c r="J21" i="22"/>
  <c r="AA21" i="22"/>
  <c r="O48" i="22"/>
  <c r="AE48" i="22"/>
  <c r="Q49" i="22"/>
  <c r="S51" i="22"/>
  <c r="W55" i="22"/>
  <c r="H56" i="22"/>
  <c r="Y56" i="22"/>
  <c r="J58" i="22"/>
  <c r="O40" i="22"/>
  <c r="O62" i="22" s="1"/>
  <c r="AE40" i="22"/>
  <c r="AE62" i="22" s="1"/>
  <c r="Q41" i="22"/>
  <c r="Q63" i="22" s="1"/>
  <c r="S42" i="22"/>
  <c r="S64" i="22" s="1"/>
  <c r="U43" i="22"/>
  <c r="E49" i="22"/>
  <c r="E18" i="22"/>
  <c r="E40" i="22" s="1"/>
  <c r="E62" i="22" s="1"/>
  <c r="V18" i="22"/>
  <c r="G19" i="22"/>
  <c r="X19" i="22"/>
  <c r="I20" i="22"/>
  <c r="Z20" i="22"/>
  <c r="K21" i="22"/>
  <c r="AB21" i="22"/>
  <c r="P48" i="22"/>
  <c r="R49" i="22"/>
  <c r="S50" i="22"/>
  <c r="T51" i="22"/>
  <c r="K58" i="22"/>
  <c r="AB58" i="22"/>
  <c r="P40" i="22"/>
  <c r="AG40" i="22"/>
  <c r="R41" i="22"/>
  <c r="R63" i="22" s="1"/>
  <c r="T42" i="22"/>
  <c r="T64" i="22" s="1"/>
  <c r="V43" i="22"/>
  <c r="V65" i="22" s="1"/>
  <c r="D48" i="22"/>
  <c r="F49" i="22"/>
  <c r="F18" i="22"/>
  <c r="F40" i="22" s="1"/>
  <c r="F62" i="22" s="1"/>
  <c r="W18" i="22"/>
  <c r="H19" i="22"/>
  <c r="Y19" i="22"/>
  <c r="J20" i="22"/>
  <c r="AA20" i="22"/>
  <c r="M21" i="22"/>
  <c r="AC21" i="22"/>
  <c r="AF25" i="22"/>
  <c r="S49" i="22"/>
  <c r="U51" i="22"/>
  <c r="J56" i="22"/>
  <c r="AA56" i="22"/>
  <c r="M58" i="22"/>
  <c r="AC58" i="22"/>
  <c r="AF39" i="22"/>
  <c r="Q40" i="22"/>
  <c r="Q62" i="22" s="1"/>
  <c r="S41" i="22"/>
  <c r="S63" i="22" s="1"/>
  <c r="U42" i="22"/>
  <c r="U64" i="22" s="1"/>
  <c r="W43" i="22"/>
  <c r="W65" i="22" s="1"/>
  <c r="F48" i="22"/>
  <c r="AF10" i="22"/>
  <c r="E35" i="22"/>
  <c r="E57" i="22" s="1"/>
  <c r="E36" i="22"/>
  <c r="E58" i="22" s="1"/>
  <c r="J18" i="22"/>
  <c r="AA18" i="22"/>
  <c r="M19" i="22"/>
  <c r="AC19" i="22"/>
  <c r="O20" i="22"/>
  <c r="AE20" i="22"/>
  <c r="Q21" i="22"/>
  <c r="U48" i="22"/>
  <c r="W49" i="22"/>
  <c r="H50" i="22"/>
  <c r="X50" i="22"/>
  <c r="M55" i="22"/>
  <c r="Q58" i="22"/>
  <c r="U40" i="22"/>
  <c r="U62" i="22" s="1"/>
  <c r="W41" i="22"/>
  <c r="W63" i="22" s="1"/>
  <c r="H42" i="22"/>
  <c r="H64" i="22" s="1"/>
  <c r="Y42" i="22"/>
  <c r="Y64" i="22" s="1"/>
  <c r="J43" i="22"/>
  <c r="J65" i="22" s="1"/>
  <c r="AA43" i="22"/>
  <c r="AA65" i="22" s="1"/>
  <c r="AF54" i="22"/>
  <c r="X18" i="22"/>
  <c r="O21" i="22"/>
  <c r="T48" i="22"/>
  <c r="K55" i="22"/>
  <c r="G43" i="22"/>
  <c r="Y18" i="22"/>
  <c r="P21" i="22"/>
  <c r="Z55" i="22"/>
  <c r="R40" i="22"/>
  <c r="R62" i="22" s="1"/>
  <c r="H43" i="22"/>
  <c r="D36" i="22"/>
  <c r="D58" i="22" s="1"/>
  <c r="Z18" i="22"/>
  <c r="AD21" i="22"/>
  <c r="V51" i="22"/>
  <c r="AA55" i="22"/>
  <c r="N58" i="22"/>
  <c r="S40" i="22"/>
  <c r="S62" i="22" s="1"/>
  <c r="I43" i="22"/>
  <c r="I65" i="22" s="1"/>
  <c r="AF61" i="22"/>
  <c r="R48" i="22"/>
  <c r="I19" i="22"/>
  <c r="AE21" i="22"/>
  <c r="W51" i="22"/>
  <c r="AB55" i="22"/>
  <c r="O58" i="22"/>
  <c r="T40" i="22"/>
  <c r="T62" i="22" s="1"/>
  <c r="X43" i="22"/>
  <c r="X65" i="22" s="1"/>
  <c r="M56" i="22"/>
  <c r="AB20" i="22"/>
  <c r="I55" i="22"/>
  <c r="E48" i="22"/>
  <c r="J19" i="22"/>
  <c r="AG21" i="22"/>
  <c r="T49" i="22"/>
  <c r="X51" i="22"/>
  <c r="K56" i="22"/>
  <c r="Y43" i="22"/>
  <c r="Y65" i="22" s="1"/>
  <c r="K19" i="22"/>
  <c r="U49" i="22"/>
  <c r="AD58" i="22"/>
  <c r="Z43" i="22"/>
  <c r="Z65" i="22" s="1"/>
  <c r="Z19" i="22"/>
  <c r="V49" i="22"/>
  <c r="N56" i="22"/>
  <c r="AE58" i="22"/>
  <c r="AD20" i="22"/>
  <c r="AA19" i="22"/>
  <c r="AB56" i="22"/>
  <c r="T41" i="22"/>
  <c r="T63" i="22" s="1"/>
  <c r="H18" i="22"/>
  <c r="AB19" i="22"/>
  <c r="AC56" i="22"/>
  <c r="U41" i="22"/>
  <c r="U63" i="22" s="1"/>
  <c r="G42" i="22"/>
  <c r="K20" i="22"/>
  <c r="AD56" i="22"/>
  <c r="V41" i="22"/>
  <c r="W42" i="22"/>
  <c r="D35" i="22"/>
  <c r="D57" i="22" s="1"/>
  <c r="M20" i="22"/>
  <c r="N20" i="22"/>
  <c r="M57" i="22"/>
  <c r="G18" i="22"/>
  <c r="AC20" i="22"/>
  <c r="V42" i="22"/>
  <c r="V64" i="22" s="1"/>
  <c r="I18" i="22"/>
  <c r="N21" i="22"/>
  <c r="S48" i="22"/>
  <c r="D19" i="6" s="1"/>
  <c r="J55" i="22"/>
  <c r="AD57" i="22"/>
  <c r="X42" i="22"/>
  <c r="X64" i="22" s="1"/>
  <c r="F35" i="22"/>
  <c r="F57" i="22" s="1"/>
  <c r="T50" i="22"/>
  <c r="F50" i="22"/>
  <c r="AG57" i="22"/>
  <c r="S57" i="22"/>
  <c r="Y50" i="22"/>
  <c r="J50" i="22"/>
  <c r="I57" i="22"/>
  <c r="I50" i="22"/>
  <c r="AG50" i="22"/>
  <c r="K50" i="22"/>
  <c r="Q57" i="22"/>
  <c r="AA57" i="22"/>
  <c r="E50" i="22"/>
  <c r="T57" i="22"/>
  <c r="Z57" i="22"/>
  <c r="R57" i="22"/>
  <c r="P50" i="22"/>
  <c r="F16" i="6" s="1"/>
  <c r="J57" i="22"/>
  <c r="H57" i="22"/>
  <c r="U57" i="22"/>
  <c r="Z50" i="22"/>
  <c r="R50" i="22"/>
  <c r="AB50" i="22"/>
  <c r="P57" i="22"/>
  <c r="AB57" i="22"/>
  <c r="D50" i="22"/>
  <c r="F19" i="6" l="1"/>
  <c r="E11" i="6"/>
  <c r="E23" i="6"/>
  <c r="G11" i="6"/>
  <c r="D11" i="6"/>
  <c r="F28" i="6"/>
  <c r="F33" i="6"/>
  <c r="G22" i="6"/>
  <c r="F26" i="6"/>
  <c r="G14" i="6"/>
  <c r="E22" i="6"/>
  <c r="E30" i="6"/>
  <c r="D26" i="6"/>
  <c r="D16" i="6"/>
  <c r="D28" i="6"/>
  <c r="F10" i="6"/>
  <c r="E21" i="6"/>
  <c r="G23" i="6"/>
  <c r="G31" i="6"/>
  <c r="G15" i="6"/>
  <c r="E29" i="6"/>
  <c r="G24" i="6"/>
  <c r="E13" i="6"/>
  <c r="F20" i="6"/>
  <c r="D13" i="6"/>
  <c r="D27" i="6"/>
  <c r="F18" i="6"/>
  <c r="D20" i="6"/>
  <c r="D10" i="6"/>
  <c r="AC57" i="22"/>
  <c r="AC62" i="22"/>
  <c r="P64" i="22"/>
  <c r="R55" i="22"/>
  <c r="D18" i="6" s="1"/>
  <c r="AA63" i="22"/>
  <c r="Z49" i="22"/>
  <c r="Q56" i="22"/>
  <c r="E17" i="6" s="1"/>
  <c r="V62" i="22"/>
  <c r="G57" i="22"/>
  <c r="G51" i="22"/>
  <c r="M62" i="22"/>
  <c r="AD63" i="22"/>
  <c r="J63" i="22"/>
  <c r="I49" i="22"/>
  <c r="AE55" i="22"/>
  <c r="D31" i="6" s="1"/>
  <c r="R58" i="22"/>
  <c r="G18" i="6" s="1"/>
  <c r="T56" i="22"/>
  <c r="E20" i="6" s="1"/>
  <c r="V57" i="22"/>
  <c r="Y57" i="22"/>
  <c r="F25" i="6" s="1"/>
  <c r="V50" i="22"/>
  <c r="F22" i="6" s="1"/>
  <c r="N63" i="22"/>
  <c r="Y62" i="22"/>
  <c r="AD65" i="22"/>
  <c r="X48" i="22"/>
  <c r="O55" i="22"/>
  <c r="D15" i="6" s="1"/>
  <c r="AG56" i="22"/>
  <c r="Q48" i="22"/>
  <c r="W64" i="22"/>
  <c r="G56" i="22"/>
  <c r="AC50" i="22"/>
  <c r="H62" i="22"/>
  <c r="N65" i="22"/>
  <c r="G48" i="22"/>
  <c r="AA51" i="22"/>
  <c r="P56" i="22"/>
  <c r="E16" i="6" s="1"/>
  <c r="G55" i="22"/>
  <c r="X57" i="22"/>
  <c r="F24" i="6" s="1"/>
  <c r="N57" i="22"/>
  <c r="AG58" i="22"/>
  <c r="Q65" i="22"/>
  <c r="M50" i="22"/>
  <c r="F13" i="6" s="1"/>
  <c r="U58" i="22"/>
  <c r="G21" i="6" s="1"/>
  <c r="AB64" i="22"/>
  <c r="J51" i="22"/>
  <c r="G10" i="6" s="1"/>
  <c r="AD55" i="22"/>
  <c r="D30" i="6" s="1"/>
  <c r="G63" i="22"/>
  <c r="O57" i="22"/>
  <c r="V63" i="22"/>
  <c r="G65" i="22"/>
  <c r="U55" i="22"/>
  <c r="D21" i="6" s="1"/>
  <c r="X58" i="22"/>
  <c r="AE64" i="22"/>
  <c r="S56" i="22"/>
  <c r="E19" i="6" s="1"/>
  <c r="K64" i="22"/>
  <c r="Y49" i="22"/>
  <c r="E25" i="6" s="1"/>
  <c r="N55" i="22"/>
  <c r="D14" i="6" s="1"/>
  <c r="N50" i="22"/>
  <c r="F14" i="6" s="1"/>
  <c r="W50" i="22"/>
  <c r="AE57" i="22"/>
  <c r="AG62" i="22"/>
  <c r="U65" i="22"/>
  <c r="AG49" i="22"/>
  <c r="G58" i="22"/>
  <c r="O64" i="22"/>
  <c r="AG43" i="22"/>
  <c r="AG65" i="22" s="1"/>
  <c r="Z63" i="22"/>
  <c r="AG19" i="22"/>
  <c r="H49" i="22"/>
  <c r="Z51" i="22"/>
  <c r="G26" i="6" s="1"/>
  <c r="G50" i="22"/>
  <c r="AE56" i="22"/>
  <c r="P62" i="22"/>
  <c r="Q51" i="22"/>
  <c r="G17" i="6" s="1"/>
  <c r="AC63" i="22"/>
  <c r="P65" i="22"/>
  <c r="Q55" i="22"/>
  <c r="I63" i="22"/>
  <c r="AC65" i="22"/>
  <c r="W48" i="22"/>
  <c r="D23" i="6" s="1"/>
  <c r="I51" i="22"/>
  <c r="K57" i="22"/>
  <c r="F11" i="6" s="1"/>
  <c r="AA50" i="22"/>
  <c r="F27" i="6" s="1"/>
  <c r="W57" i="22"/>
  <c r="O56" i="22"/>
  <c r="AE49" i="22"/>
  <c r="M63" i="22"/>
  <c r="AD64" i="22"/>
  <c r="X62" i="22"/>
  <c r="M65" i="22"/>
  <c r="X49" i="22"/>
  <c r="E24" i="6" s="1"/>
  <c r="P58" i="22"/>
  <c r="G16" i="6" s="1"/>
  <c r="AC55" i="22"/>
  <c r="D29" i="6" s="1"/>
  <c r="Y55" i="22"/>
  <c r="D25" i="6" s="1"/>
  <c r="AG10" i="22"/>
  <c r="AG54" i="22"/>
  <c r="AG47" i="22"/>
  <c r="AG32" i="22"/>
  <c r="AG17" i="22"/>
  <c r="AH3" i="22"/>
  <c r="AG61" i="22"/>
  <c r="AG39" i="22"/>
  <c r="AG25" i="22"/>
  <c r="O49" i="22"/>
  <c r="AA62" i="22"/>
  <c r="N64" i="22"/>
  <c r="AC51" i="22"/>
  <c r="G29" i="6" s="1"/>
  <c r="G62" i="22"/>
  <c r="AA64" i="22"/>
  <c r="G49" i="22"/>
  <c r="G64" i="22"/>
  <c r="H55" i="22"/>
  <c r="Z56" i="22"/>
  <c r="J62" i="22"/>
  <c r="AB63" i="22"/>
  <c r="M51" i="22"/>
  <c r="G13" i="6" s="1"/>
  <c r="T58" i="22"/>
  <c r="G20" i="6" s="1"/>
  <c r="J64" i="22"/>
  <c r="AB65" i="22"/>
  <c r="V48" i="22"/>
  <c r="D22" i="6" s="1"/>
  <c r="U50" i="22"/>
  <c r="Y51" i="22"/>
  <c r="G25" i="6" s="1"/>
  <c r="I56" i="22"/>
  <c r="AE50" i="22"/>
  <c r="K63" i="22"/>
  <c r="AA49" i="22"/>
  <c r="E27" i="6" s="1"/>
  <c r="R56" i="22"/>
  <c r="E18" i="6" s="1"/>
  <c r="Y63" i="22"/>
  <c r="K65" i="22"/>
  <c r="H65" i="22"/>
  <c r="S58" i="22"/>
  <c r="G19" i="6" s="1"/>
  <c r="AD50" i="22"/>
  <c r="F30" i="6" s="1"/>
  <c r="Q50" i="22"/>
  <c r="F17" i="6" s="1"/>
  <c r="H51" i="22"/>
  <c r="X55" i="22"/>
  <c r="AA58" i="22"/>
  <c r="AG41" i="22"/>
  <c r="AG63" i="22" s="1"/>
  <c r="O50" i="22"/>
  <c r="Z62" i="22"/>
  <c r="AE65" i="22"/>
  <c r="J49" i="22"/>
  <c r="E10" i="6" s="1"/>
  <c r="AG55" i="22"/>
  <c r="H63" i="22"/>
  <c r="Z64" i="22"/>
  <c r="AG20" i="22"/>
  <c r="AG64" i="22" s="1"/>
  <c r="G27" i="6" l="1"/>
  <c r="E33" i="6"/>
  <c r="F21" i="6"/>
  <c r="F31" i="6"/>
  <c r="D17" i="6"/>
  <c r="F23" i="6"/>
  <c r="D24" i="6"/>
  <c r="E15" i="6"/>
  <c r="F29" i="6"/>
  <c r="F15" i="6"/>
  <c r="E26" i="6"/>
  <c r="E31" i="6"/>
  <c r="AI4" i="22"/>
  <c r="AG48" i="22"/>
  <c r="D33" i="6" s="1"/>
  <c r="AG51" i="22"/>
  <c r="G33" i="6" s="1"/>
  <c r="AI63" i="22"/>
  <c r="AI55" i="22"/>
  <c r="AI41" i="22"/>
  <c r="AH10" i="22"/>
  <c r="AH54" i="22"/>
  <c r="AH47" i="22"/>
  <c r="AH32" i="22"/>
  <c r="AH17" i="22"/>
  <c r="AH61" i="22"/>
  <c r="AH25" i="22"/>
  <c r="AH39" i="22"/>
  <c r="AI7" i="22"/>
  <c r="AH42" i="22"/>
  <c r="AI14" i="22"/>
  <c r="AI13" i="22"/>
  <c r="AI12" i="22"/>
  <c r="AH20" i="22"/>
  <c r="AI20" i="22" s="1"/>
  <c r="AH18" i="22"/>
  <c r="AI18" i="22" s="1"/>
  <c r="AH41" i="22"/>
  <c r="AH63" i="22" s="1"/>
  <c r="AI6" i="22"/>
  <c r="AH55" i="22"/>
  <c r="AH43" i="22"/>
  <c r="AH19" i="22"/>
  <c r="AI19" i="22" s="1"/>
  <c r="AI5" i="22"/>
  <c r="AH40" i="22"/>
  <c r="AH21" i="22"/>
  <c r="AI21" i="22" s="1"/>
  <c r="AI11" i="22"/>
  <c r="AI15" i="22" s="1"/>
  <c r="AI27" i="22"/>
  <c r="AH48" i="22" l="1"/>
  <c r="D34" i="6" s="1"/>
  <c r="AI26" i="22"/>
  <c r="AH57" i="22"/>
  <c r="AI57" i="22" s="1"/>
  <c r="AI35" i="22"/>
  <c r="AH56" i="22"/>
  <c r="AI56" i="22" s="1"/>
  <c r="AI34" i="22"/>
  <c r="AI51" i="22"/>
  <c r="AI22" i="22"/>
  <c r="AH62" i="22"/>
  <c r="AI62" i="22" s="1"/>
  <c r="AI40" i="22"/>
  <c r="AI44" i="22" s="1"/>
  <c r="AH58" i="22"/>
  <c r="AI58" i="22" s="1"/>
  <c r="AI59" i="22" s="1"/>
  <c r="AI36" i="22"/>
  <c r="AH49" i="22"/>
  <c r="E34" i="6" s="1"/>
  <c r="AI8" i="22"/>
  <c r="AH64" i="22"/>
  <c r="AI64" i="22" s="1"/>
  <c r="AI42" i="22"/>
  <c r="AH51" i="22"/>
  <c r="AH50" i="22"/>
  <c r="AI28" i="22"/>
  <c r="AH65" i="22"/>
  <c r="AI65" i="22" s="1"/>
  <c r="AI43" i="22"/>
  <c r="AI33" i="22"/>
  <c r="AI29" i="22"/>
  <c r="F34" i="6" l="1"/>
  <c r="G34" i="6"/>
  <c r="AI49" i="22"/>
  <c r="AI37" i="22"/>
  <c r="AI66" i="22"/>
  <c r="AI30" i="22"/>
  <c r="AI50" i="22"/>
  <c r="AI48" i="22"/>
  <c r="AI52" i="22" l="1"/>
  <c r="F48" i="16"/>
  <c r="D34" i="16" s="1"/>
  <c r="F44" i="16"/>
  <c r="D32" i="16" s="1"/>
  <c r="D7" i="16" l="1"/>
  <c r="D14" i="16"/>
  <c r="D19" i="16"/>
  <c r="D24" i="16"/>
  <c r="D29" i="16"/>
  <c r="D12" i="16"/>
  <c r="D17" i="16"/>
  <c r="D22" i="16"/>
  <c r="D27" i="16"/>
  <c r="I10" i="9" l="1"/>
  <c r="I11" i="9"/>
  <c r="I12" i="9"/>
  <c r="I13" i="9"/>
  <c r="I14" i="9"/>
  <c r="I15" i="9"/>
  <c r="I16" i="9"/>
  <c r="I17" i="9"/>
  <c r="I18" i="9"/>
  <c r="I19" i="9"/>
  <c r="I20" i="9"/>
  <c r="I21" i="9"/>
  <c r="I22" i="9"/>
  <c r="I23" i="9"/>
  <c r="I24" i="9"/>
  <c r="I25" i="9"/>
  <c r="I26" i="9"/>
  <c r="I27" i="9"/>
  <c r="I28" i="9"/>
  <c r="I29" i="9"/>
  <c r="I30" i="9"/>
  <c r="I31" i="9"/>
  <c r="I32" i="9"/>
  <c r="I33" i="9"/>
  <c r="I34" i="9"/>
  <c r="E95" i="18"/>
  <c r="G85" i="18"/>
  <c r="C13" i="2" l="1"/>
  <c r="E19" i="16"/>
  <c r="G90" i="18" l="1"/>
  <c r="V71" i="18"/>
  <c r="T71" i="18"/>
  <c r="V66" i="18"/>
  <c r="T66" i="18"/>
  <c r="V61" i="18"/>
  <c r="V60" i="18"/>
  <c r="T61" i="18"/>
  <c r="T75" i="18" s="1"/>
  <c r="T60" i="18"/>
  <c r="AE58" i="18"/>
  <c r="N71" i="18"/>
  <c r="P66" i="18"/>
  <c r="P61" i="18"/>
  <c r="N61" i="18"/>
  <c r="V75" i="18"/>
  <c r="AD56" i="18"/>
  <c r="AC56" i="18"/>
  <c r="R56" i="18"/>
  <c r="S56" i="18" s="1"/>
  <c r="G56" i="18"/>
  <c r="F56" i="18"/>
  <c r="AD55" i="18"/>
  <c r="AC55" i="18"/>
  <c r="P71" i="18" s="1"/>
  <c r="R55" i="18"/>
  <c r="S55" i="18" s="1"/>
  <c r="G55" i="18"/>
  <c r="F55" i="18"/>
  <c r="AC54" i="18"/>
  <c r="AD54" i="18" s="1"/>
  <c r="R54" i="18"/>
  <c r="S54" i="18" s="1"/>
  <c r="G54" i="18"/>
  <c r="F54" i="18"/>
  <c r="AC53" i="18"/>
  <c r="P60" i="18" s="1"/>
  <c r="P75" i="18" s="1"/>
  <c r="S53" i="18"/>
  <c r="R53" i="18"/>
  <c r="G53" i="18"/>
  <c r="F53" i="18"/>
  <c r="AC52" i="18"/>
  <c r="N66" i="18" s="1"/>
  <c r="S52" i="18"/>
  <c r="R52" i="18"/>
  <c r="F52" i="18"/>
  <c r="G52" i="18" s="1"/>
  <c r="AD51" i="18"/>
  <c r="AC51" i="18"/>
  <c r="R51" i="18"/>
  <c r="S51" i="18" s="1"/>
  <c r="G51" i="18"/>
  <c r="F51" i="18"/>
  <c r="AC50" i="18"/>
  <c r="AD50" i="18" s="1"/>
  <c r="R50" i="18"/>
  <c r="S50" i="18" s="1"/>
  <c r="F50" i="18"/>
  <c r="G50" i="18" s="1"/>
  <c r="AD49" i="18"/>
  <c r="AC49" i="18"/>
  <c r="N60" i="18" s="1"/>
  <c r="N75" i="18" s="1"/>
  <c r="R49" i="18"/>
  <c r="S49" i="18" s="1"/>
  <c r="G49" i="18"/>
  <c r="F49" i="18"/>
  <c r="F48" i="18"/>
  <c r="G48" i="18" s="1"/>
  <c r="G47" i="18"/>
  <c r="F47" i="18"/>
  <c r="L5" i="20"/>
  <c r="K5" i="20"/>
  <c r="E5" i="20"/>
  <c r="G5" i="4"/>
  <c r="E6" i="20" s="1"/>
  <c r="G6" i="4"/>
  <c r="E7" i="20" s="1"/>
  <c r="G4" i="4"/>
  <c r="G5" i="14"/>
  <c r="G6" i="14"/>
  <c r="K7" i="20" s="1"/>
  <c r="G4" i="14"/>
  <c r="K6" i="20" l="1"/>
  <c r="AE52" i="18"/>
  <c r="AD52" i="18"/>
  <c r="AD53" i="18"/>
  <c r="AE56" i="18" s="1"/>
  <c r="O34" i="9" l="1"/>
  <c r="N9" i="1" l="1"/>
  <c r="D5" i="20" s="1"/>
  <c r="P9" i="1"/>
  <c r="D7" i="20" s="1"/>
  <c r="O9" i="1"/>
  <c r="E29" i="16"/>
  <c r="E34" i="16"/>
  <c r="F5" i="16"/>
  <c r="G5" i="16" s="1"/>
  <c r="I6" i="20" s="1"/>
  <c r="F8" i="16"/>
  <c r="G8" i="16" s="1"/>
  <c r="I9" i="20" s="1"/>
  <c r="F9" i="16"/>
  <c r="G9" i="16" s="1"/>
  <c r="I10" i="20" s="1"/>
  <c r="F10" i="16"/>
  <c r="G10" i="16" s="1"/>
  <c r="I11" i="20" s="1"/>
  <c r="F11" i="16"/>
  <c r="G11" i="16" s="1"/>
  <c r="I12" i="20" s="1"/>
  <c r="F12" i="16"/>
  <c r="G12" i="16" s="1"/>
  <c r="I13" i="20" s="1"/>
  <c r="F13" i="16"/>
  <c r="G13" i="16" s="1"/>
  <c r="I14" i="20" s="1"/>
  <c r="F16" i="16"/>
  <c r="G16" i="16" s="1"/>
  <c r="I17" i="20" s="1"/>
  <c r="F17" i="16"/>
  <c r="G17" i="16" s="1"/>
  <c r="I18" i="20" s="1"/>
  <c r="F18" i="16"/>
  <c r="G18" i="16" s="1"/>
  <c r="I19" i="20" s="1"/>
  <c r="F20" i="16"/>
  <c r="G20" i="16" s="1"/>
  <c r="I21" i="20" s="1"/>
  <c r="F21" i="16"/>
  <c r="G21" i="16" s="1"/>
  <c r="I22" i="20" s="1"/>
  <c r="F22" i="16"/>
  <c r="G22" i="16" s="1"/>
  <c r="I23" i="20" s="1"/>
  <c r="F23" i="16"/>
  <c r="G23" i="16" s="1"/>
  <c r="I24" i="20" s="1"/>
  <c r="F25" i="16"/>
  <c r="G25" i="16" s="1"/>
  <c r="I26" i="20" s="1"/>
  <c r="F26" i="16"/>
  <c r="G26" i="16" s="1"/>
  <c r="I27" i="20" s="1"/>
  <c r="F27" i="16"/>
  <c r="G27" i="16" s="1"/>
  <c r="I28" i="20" s="1"/>
  <c r="F28" i="16"/>
  <c r="G28" i="16" s="1"/>
  <c r="I29" i="20" s="1"/>
  <c r="F30" i="16"/>
  <c r="G30" i="16" s="1"/>
  <c r="I31" i="20" s="1"/>
  <c r="F31" i="16"/>
  <c r="G31" i="16" s="1"/>
  <c r="I32" i="20" s="1"/>
  <c r="F32" i="16"/>
  <c r="G32" i="16" s="1"/>
  <c r="I33" i="20" s="1"/>
  <c r="F4" i="16"/>
  <c r="F7" i="16"/>
  <c r="F33" i="16"/>
  <c r="F15" i="16"/>
  <c r="E6" i="16"/>
  <c r="F6" i="16" s="1"/>
  <c r="D6" i="20" l="1"/>
  <c r="G4" i="16"/>
  <c r="I5" i="20" s="1"/>
  <c r="G15" i="16"/>
  <c r="I16" i="20" s="1"/>
  <c r="G33" i="16"/>
  <c r="I34" i="20" s="1"/>
  <c r="G7" i="16"/>
  <c r="I8" i="20" s="1"/>
  <c r="G6" i="16"/>
  <c r="I7" i="20" s="1"/>
  <c r="S9" i="1"/>
  <c r="D10" i="20" s="1"/>
  <c r="R9" i="1"/>
  <c r="D9" i="20" s="1"/>
  <c r="Q9" i="1"/>
  <c r="D8" i="20" s="1"/>
  <c r="F34" i="16"/>
  <c r="F29" i="16"/>
  <c r="F24" i="16"/>
  <c r="G24" i="16" s="1"/>
  <c r="I25" i="20" s="1"/>
  <c r="F19" i="16"/>
  <c r="F14" i="16"/>
  <c r="N10" i="9"/>
  <c r="N11" i="9"/>
  <c r="N12" i="9"/>
  <c r="N13" i="9"/>
  <c r="N14" i="9"/>
  <c r="N15" i="9"/>
  <c r="N16" i="9"/>
  <c r="N17" i="9"/>
  <c r="N18" i="9"/>
  <c r="N19" i="9"/>
  <c r="N20" i="9"/>
  <c r="N21" i="9"/>
  <c r="N22" i="9"/>
  <c r="N23" i="9"/>
  <c r="N24" i="9"/>
  <c r="N25" i="9"/>
  <c r="N26" i="9"/>
  <c r="N27" i="9"/>
  <c r="N28" i="9"/>
  <c r="N29" i="9"/>
  <c r="N30" i="9"/>
  <c r="N31" i="9"/>
  <c r="N32" i="9"/>
  <c r="N33" i="9"/>
  <c r="N34" i="9"/>
  <c r="F10" i="9"/>
  <c r="F11" i="9"/>
  <c r="F12" i="9"/>
  <c r="F13" i="9"/>
  <c r="F14" i="9"/>
  <c r="F15" i="9"/>
  <c r="F16" i="9"/>
  <c r="F17" i="9"/>
  <c r="F18" i="9"/>
  <c r="F19" i="9"/>
  <c r="F20" i="9"/>
  <c r="F21" i="9"/>
  <c r="F22" i="9"/>
  <c r="F23" i="9"/>
  <c r="F24" i="9"/>
  <c r="F25" i="9"/>
  <c r="F26" i="9"/>
  <c r="F27" i="9"/>
  <c r="F28" i="9"/>
  <c r="F29" i="9"/>
  <c r="F30" i="9"/>
  <c r="F31" i="9"/>
  <c r="F32" i="9"/>
  <c r="F33" i="9"/>
  <c r="F34" i="9"/>
  <c r="M10" i="9"/>
  <c r="M11" i="9"/>
  <c r="M12" i="9"/>
  <c r="M13" i="9"/>
  <c r="M14" i="9"/>
  <c r="M15" i="9"/>
  <c r="M16" i="9"/>
  <c r="M17" i="9"/>
  <c r="M18" i="9"/>
  <c r="M19" i="9"/>
  <c r="M20" i="9"/>
  <c r="M21" i="9"/>
  <c r="M22" i="9"/>
  <c r="M23" i="9"/>
  <c r="M24" i="9"/>
  <c r="M25" i="9"/>
  <c r="M26" i="9"/>
  <c r="M27" i="9"/>
  <c r="M28" i="9"/>
  <c r="M29" i="9"/>
  <c r="M30" i="9"/>
  <c r="M31" i="9"/>
  <c r="M32" i="9"/>
  <c r="M33" i="9"/>
  <c r="M34" i="9"/>
  <c r="D36" i="20" l="1"/>
  <c r="C14" i="2" s="1"/>
  <c r="U9" i="1"/>
  <c r="D8" i="2"/>
  <c r="G14" i="16"/>
  <c r="I15" i="20" s="1"/>
  <c r="G19" i="16"/>
  <c r="G29" i="16"/>
  <c r="I30" i="20" s="1"/>
  <c r="G34" i="16"/>
  <c r="I35" i="20" s="1"/>
  <c r="O6" i="7"/>
  <c r="O7" i="7"/>
  <c r="O5" i="7"/>
  <c r="I20" i="20" l="1"/>
  <c r="I36" i="20" s="1"/>
  <c r="C8" i="2" s="1"/>
  <c r="G35" i="16"/>
  <c r="N7" i="7"/>
  <c r="P7" i="7" s="1"/>
  <c r="G7" i="20" s="1"/>
  <c r="N6" i="7"/>
  <c r="P6" i="7" s="1"/>
  <c r="G6" i="20" s="1"/>
  <c r="N5" i="7"/>
  <c r="P5" i="7" s="1"/>
  <c r="G5" i="20" s="1"/>
  <c r="AF54" i="18" l="1"/>
  <c r="AF53" i="18"/>
  <c r="AF51" i="18"/>
  <c r="AF52" i="18"/>
  <c r="AF49" i="18"/>
  <c r="AF50" i="18"/>
  <c r="G86" i="18" s="1"/>
  <c r="AF55" i="18"/>
  <c r="AF56" i="18"/>
  <c r="G91" i="18" l="1"/>
  <c r="D11" i="7" s="1"/>
  <c r="D12" i="7" s="1"/>
  <c r="L10" i="9"/>
  <c r="L11" i="9"/>
  <c r="L12" i="9"/>
  <c r="L13" i="9"/>
  <c r="L14" i="9"/>
  <c r="L15" i="9"/>
  <c r="L16" i="9"/>
  <c r="L17" i="9"/>
  <c r="L18" i="9"/>
  <c r="L19" i="9"/>
  <c r="L20" i="9"/>
  <c r="L21" i="9"/>
  <c r="L22" i="9"/>
  <c r="L23" i="9"/>
  <c r="L24" i="9"/>
  <c r="L25" i="9"/>
  <c r="L26" i="9"/>
  <c r="L27" i="9"/>
  <c r="L28" i="9"/>
  <c r="L29" i="9"/>
  <c r="L30" i="9"/>
  <c r="L31" i="9"/>
  <c r="L32" i="9"/>
  <c r="L33" i="9"/>
  <c r="L34" i="9"/>
  <c r="K20" i="9"/>
  <c r="K21" i="9"/>
  <c r="K22" i="9"/>
  <c r="K23" i="9"/>
  <c r="K24" i="9"/>
  <c r="K25" i="9"/>
  <c r="K26" i="9"/>
  <c r="K27" i="9"/>
  <c r="K28" i="9"/>
  <c r="K29" i="9"/>
  <c r="K30" i="9"/>
  <c r="K31" i="9"/>
  <c r="K32" i="9"/>
  <c r="K33" i="9"/>
  <c r="K34" i="9"/>
  <c r="K19" i="9"/>
  <c r="K18" i="9"/>
  <c r="K10" i="9"/>
  <c r="K11" i="9"/>
  <c r="K12" i="9"/>
  <c r="K13" i="9"/>
  <c r="K14" i="9"/>
  <c r="K15" i="9"/>
  <c r="K16" i="9"/>
  <c r="K17" i="9"/>
  <c r="P5" i="9"/>
  <c r="P6" i="9"/>
  <c r="P4" i="9"/>
  <c r="F49" i="9"/>
  <c r="F48" i="9"/>
  <c r="F47" i="9"/>
  <c r="F46" i="9"/>
  <c r="F45" i="9"/>
  <c r="F44" i="9"/>
  <c r="Q4" i="9" l="1"/>
  <c r="H5" i="20" s="1"/>
  <c r="Q5" i="9"/>
  <c r="H6" i="20" s="1"/>
  <c r="Q6" i="9"/>
  <c r="H7" i="20" s="1"/>
  <c r="D13" i="7"/>
  <c r="H10" i="9"/>
  <c r="H11" i="9"/>
  <c r="D17" i="9"/>
  <c r="H26" i="9"/>
  <c r="H25" i="9"/>
  <c r="H24" i="9"/>
  <c r="H22" i="9"/>
  <c r="H21" i="9"/>
  <c r="H34" i="9"/>
  <c r="H23" i="9"/>
  <c r="H20" i="9"/>
  <c r="H18" i="9"/>
  <c r="H33" i="9"/>
  <c r="H32" i="9"/>
  <c r="H16" i="9"/>
  <c r="H19" i="9"/>
  <c r="H15" i="9"/>
  <c r="H30" i="9"/>
  <c r="H29" i="9"/>
  <c r="H13" i="9"/>
  <c r="H31" i="9"/>
  <c r="H28" i="9"/>
  <c r="H12" i="9"/>
  <c r="H17" i="9"/>
  <c r="H14" i="9"/>
  <c r="H27" i="9"/>
  <c r="G21" i="9"/>
  <c r="J28" i="9"/>
  <c r="G25" i="9"/>
  <c r="D16" i="9"/>
  <c r="D15" i="9"/>
  <c r="J12" i="9"/>
  <c r="D21" i="9"/>
  <c r="D13" i="9"/>
  <c r="D11" i="9"/>
  <c r="D30" i="9"/>
  <c r="D10" i="9"/>
  <c r="G10" i="9"/>
  <c r="D29" i="9"/>
  <c r="D14" i="9"/>
  <c r="D32" i="9"/>
  <c r="D12" i="9"/>
  <c r="D31" i="9"/>
  <c r="D28" i="9"/>
  <c r="J29" i="9"/>
  <c r="D27" i="9"/>
  <c r="D26" i="9"/>
  <c r="J27" i="9"/>
  <c r="D25" i="9"/>
  <c r="J13" i="9"/>
  <c r="D24" i="9"/>
  <c r="D23" i="9"/>
  <c r="D22" i="9"/>
  <c r="G24" i="9"/>
  <c r="J11" i="9"/>
  <c r="G23" i="9"/>
  <c r="J26" i="9"/>
  <c r="J10" i="9"/>
  <c r="G22" i="9"/>
  <c r="J25" i="9"/>
  <c r="J24" i="9"/>
  <c r="G20" i="9"/>
  <c r="G19" i="9"/>
  <c r="G18" i="9"/>
  <c r="P7" i="9"/>
  <c r="J21" i="9"/>
  <c r="G33" i="9"/>
  <c r="G17" i="9"/>
  <c r="J19" i="9"/>
  <c r="G31" i="9"/>
  <c r="G15" i="9"/>
  <c r="G34" i="9"/>
  <c r="G16" i="9"/>
  <c r="J18" i="9"/>
  <c r="D20" i="9"/>
  <c r="J33" i="9"/>
  <c r="J17" i="9"/>
  <c r="G29" i="9"/>
  <c r="G13" i="9"/>
  <c r="J22" i="9"/>
  <c r="G12" i="9"/>
  <c r="P8" i="9"/>
  <c r="G32" i="9"/>
  <c r="G30" i="9"/>
  <c r="D19" i="9"/>
  <c r="J32" i="9"/>
  <c r="G28" i="9"/>
  <c r="D34" i="9"/>
  <c r="D18" i="9"/>
  <c r="J31" i="9"/>
  <c r="J15" i="9"/>
  <c r="G27" i="9"/>
  <c r="G11" i="9"/>
  <c r="J23" i="9"/>
  <c r="J20" i="9"/>
  <c r="J34" i="9"/>
  <c r="G14" i="9"/>
  <c r="J16" i="9"/>
  <c r="D33" i="9"/>
  <c r="J30" i="9"/>
  <c r="J14" i="9"/>
  <c r="G26" i="9"/>
  <c r="Q8" i="9" l="1"/>
  <c r="H9" i="20" s="1"/>
  <c r="Q7" i="9"/>
  <c r="H8" i="20" s="1"/>
  <c r="D14" i="7"/>
  <c r="D15" i="7" l="1"/>
  <c r="Q18" i="15"/>
  <c r="L6" i="14"/>
  <c r="L5" i="14"/>
  <c r="D16" i="7" l="1"/>
  <c r="L7" i="14"/>
  <c r="D17" i="7" l="1"/>
  <c r="E10" i="14"/>
  <c r="E11" i="14" s="1"/>
  <c r="E12" i="14" s="1"/>
  <c r="E13" i="14" s="1"/>
  <c r="E14" i="14" s="1"/>
  <c r="E15" i="14" s="1"/>
  <c r="E16" i="14" s="1"/>
  <c r="E17" i="14" s="1"/>
  <c r="E18" i="14" s="1"/>
  <c r="E19" i="14" s="1"/>
  <c r="E20" i="14" s="1"/>
  <c r="E21" i="14" s="1"/>
  <c r="E22" i="14" s="1"/>
  <c r="E23" i="14" s="1"/>
  <c r="E24" i="14" s="1"/>
  <c r="E25" i="14" s="1"/>
  <c r="E26" i="14" s="1"/>
  <c r="E27" i="14" s="1"/>
  <c r="E28" i="14" s="1"/>
  <c r="E29" i="14" s="1"/>
  <c r="E30" i="14" s="1"/>
  <c r="E31" i="14" s="1"/>
  <c r="E32" i="14" s="1"/>
  <c r="E33" i="14" s="1"/>
  <c r="E34" i="14" s="1"/>
  <c r="D18" i="7" l="1"/>
  <c r="D19" i="7" l="1"/>
  <c r="D20" i="7" l="1"/>
  <c r="D21" i="7" l="1"/>
  <c r="D22" i="7" l="1"/>
  <c r="G83" i="18"/>
  <c r="G84" i="18" s="1"/>
  <c r="G88" i="18"/>
  <c r="G89" i="18" s="1"/>
  <c r="E93" i="18" l="1"/>
  <c r="D23" i="7"/>
  <c r="I5" i="15"/>
  <c r="I6" i="15"/>
  <c r="I7" i="15"/>
  <c r="I8" i="15"/>
  <c r="I4" i="15"/>
  <c r="H11" i="15"/>
  <c r="H12" i="15"/>
  <c r="H13" i="15"/>
  <c r="H14" i="15"/>
  <c r="H15" i="15"/>
  <c r="H16" i="15"/>
  <c r="H17" i="15"/>
  <c r="H18" i="15"/>
  <c r="H19" i="15"/>
  <c r="H20" i="15"/>
  <c r="H21" i="15"/>
  <c r="H22" i="15"/>
  <c r="H23" i="15"/>
  <c r="H24" i="15"/>
  <c r="H25" i="15"/>
  <c r="H26" i="15"/>
  <c r="H27" i="15"/>
  <c r="H28" i="15"/>
  <c r="H29" i="15"/>
  <c r="H30" i="15"/>
  <c r="H31" i="15"/>
  <c r="H32" i="15"/>
  <c r="H33" i="15"/>
  <c r="H34" i="15"/>
  <c r="H10" i="15"/>
  <c r="G11" i="15"/>
  <c r="G12" i="15"/>
  <c r="G13" i="15"/>
  <c r="G14" i="15"/>
  <c r="G15" i="15"/>
  <c r="G16" i="15"/>
  <c r="G17" i="15"/>
  <c r="G18" i="15"/>
  <c r="G19" i="15"/>
  <c r="G20" i="15"/>
  <c r="G21" i="15"/>
  <c r="G22" i="15"/>
  <c r="G23" i="15"/>
  <c r="G24" i="15"/>
  <c r="G25" i="15"/>
  <c r="G26" i="15"/>
  <c r="G27" i="15"/>
  <c r="G28" i="15"/>
  <c r="G29" i="15"/>
  <c r="G30" i="15"/>
  <c r="G31" i="15"/>
  <c r="G32" i="15"/>
  <c r="G33" i="15"/>
  <c r="G34" i="15"/>
  <c r="G10" i="15"/>
  <c r="F26" i="15"/>
  <c r="D22" i="15"/>
  <c r="D24" i="15"/>
  <c r="D25" i="15"/>
  <c r="Q12" i="15"/>
  <c r="F15" i="15" s="1"/>
  <c r="Q9" i="15"/>
  <c r="E21" i="15" s="1"/>
  <c r="Q6" i="15"/>
  <c r="D11" i="15" s="1"/>
  <c r="Q22" i="12"/>
  <c r="E10" i="4" l="1"/>
  <c r="E11" i="4" s="1"/>
  <c r="E12" i="4" s="1"/>
  <c r="E13" i="4" s="1"/>
  <c r="E14" i="4" s="1"/>
  <c r="E15" i="4" s="1"/>
  <c r="E16" i="4" s="1"/>
  <c r="E17" i="4" s="1"/>
  <c r="E18" i="4" s="1"/>
  <c r="E19" i="4" s="1"/>
  <c r="E20" i="4" s="1"/>
  <c r="E21" i="4" s="1"/>
  <c r="E22" i="4" s="1"/>
  <c r="E23" i="4" s="1"/>
  <c r="E24" i="4" s="1"/>
  <c r="E25" i="4" s="1"/>
  <c r="E26" i="4" s="1"/>
  <c r="E27" i="4" s="1"/>
  <c r="E28" i="4" s="1"/>
  <c r="E29" i="4" s="1"/>
  <c r="E30" i="4" s="1"/>
  <c r="E31" i="4" s="1"/>
  <c r="E32" i="4" s="1"/>
  <c r="E33" i="4" s="1"/>
  <c r="E34" i="4" s="1"/>
  <c r="J4" i="15"/>
  <c r="J8" i="15"/>
  <c r="L9" i="20" s="1"/>
  <c r="J7" i="15"/>
  <c r="L8" i="20" s="1"/>
  <c r="J6" i="15"/>
  <c r="L7" i="20" s="1"/>
  <c r="J5" i="15"/>
  <c r="L6" i="20" s="1"/>
  <c r="D26" i="15"/>
  <c r="F12" i="15"/>
  <c r="E10" i="15"/>
  <c r="F14" i="15"/>
  <c r="E34" i="15"/>
  <c r="E20" i="15"/>
  <c r="E19" i="15"/>
  <c r="F13" i="15"/>
  <c r="E16" i="15"/>
  <c r="F30" i="15"/>
  <c r="E18" i="15"/>
  <c r="F29" i="15"/>
  <c r="F28" i="15"/>
  <c r="D23" i="15"/>
  <c r="E33" i="15"/>
  <c r="E17" i="15"/>
  <c r="F27" i="15"/>
  <c r="F11" i="15"/>
  <c r="D21" i="15"/>
  <c r="E31" i="15"/>
  <c r="E15" i="15"/>
  <c r="F25" i="15"/>
  <c r="D20" i="15"/>
  <c r="E30" i="15"/>
  <c r="E14" i="15"/>
  <c r="F24" i="15"/>
  <c r="D10" i="15"/>
  <c r="D19" i="15"/>
  <c r="E29" i="15"/>
  <c r="E13" i="15"/>
  <c r="F23" i="15"/>
  <c r="F22" i="15"/>
  <c r="E12" i="15"/>
  <c r="D33" i="15"/>
  <c r="D17" i="15"/>
  <c r="E27" i="15"/>
  <c r="E11" i="15"/>
  <c r="F21" i="15"/>
  <c r="E32" i="15"/>
  <c r="D32" i="15"/>
  <c r="D16" i="15"/>
  <c r="E26" i="15"/>
  <c r="F20" i="15"/>
  <c r="D31" i="15"/>
  <c r="E25" i="15"/>
  <c r="F10" i="15"/>
  <c r="F19" i="15"/>
  <c r="E24" i="15"/>
  <c r="F34" i="15"/>
  <c r="F18" i="15"/>
  <c r="D34" i="15"/>
  <c r="D14" i="15"/>
  <c r="D29" i="15"/>
  <c r="D13" i="15"/>
  <c r="E23" i="15"/>
  <c r="F33" i="15"/>
  <c r="F17" i="15"/>
  <c r="E28" i="15"/>
  <c r="D30" i="15"/>
  <c r="D28" i="15"/>
  <c r="D12" i="15"/>
  <c r="E22" i="15"/>
  <c r="F32" i="15"/>
  <c r="F16" i="15"/>
  <c r="D18" i="15"/>
  <c r="D15" i="15"/>
  <c r="D27" i="15"/>
  <c r="F31" i="15"/>
  <c r="D24" i="7"/>
  <c r="G64" i="8"/>
  <c r="G69" i="8" s="1"/>
  <c r="F64" i="8"/>
  <c r="F69" i="8" s="1"/>
  <c r="E64" i="8"/>
  <c r="E69" i="8" s="1"/>
  <c r="D64" i="8"/>
  <c r="D69" i="8" s="1"/>
  <c r="S18" i="12"/>
  <c r="Q19" i="12" s="1"/>
  <c r="Q23" i="12"/>
  <c r="Q21" i="12"/>
  <c r="Q24" i="12" s="1"/>
  <c r="Q26" i="12" s="1"/>
  <c r="D133" i="11"/>
  <c r="D134" i="11"/>
  <c r="D135" i="11" l="1"/>
  <c r="D136" i="11"/>
  <c r="G29" i="7" s="1"/>
  <c r="G27" i="7"/>
  <c r="G12" i="7"/>
  <c r="G28" i="7"/>
  <c r="G13" i="7"/>
  <c r="G31" i="7"/>
  <c r="G17" i="7"/>
  <c r="G20" i="7"/>
  <c r="G16" i="7"/>
  <c r="G23" i="7"/>
  <c r="G24" i="7"/>
  <c r="G25" i="7"/>
  <c r="G15" i="7"/>
  <c r="G30" i="7"/>
  <c r="F23" i="12"/>
  <c r="F27" i="12"/>
  <c r="F15" i="12"/>
  <c r="F33" i="12"/>
  <c r="F10" i="12"/>
  <c r="F26" i="12"/>
  <c r="F29" i="12"/>
  <c r="F17" i="12"/>
  <c r="F11" i="12"/>
  <c r="F31" i="12"/>
  <c r="F19" i="12"/>
  <c r="F13" i="12"/>
  <c r="F20" i="12"/>
  <c r="I22" i="15"/>
  <c r="J22" i="15" s="1"/>
  <c r="L23" i="20" s="1"/>
  <c r="I21" i="15"/>
  <c r="J21" i="15" s="1"/>
  <c r="L22" i="20" s="1"/>
  <c r="I30" i="15"/>
  <c r="J30" i="15" s="1"/>
  <c r="L31" i="20" s="1"/>
  <c r="I27" i="15"/>
  <c r="I24" i="15"/>
  <c r="J24" i="15" s="1"/>
  <c r="L25" i="20" s="1"/>
  <c r="I15" i="15"/>
  <c r="I31" i="15"/>
  <c r="I34" i="15"/>
  <c r="I12" i="15"/>
  <c r="I19" i="15"/>
  <c r="I26" i="15"/>
  <c r="I16" i="15"/>
  <c r="I32" i="15"/>
  <c r="I11" i="15"/>
  <c r="I14" i="15"/>
  <c r="I25" i="15"/>
  <c r="I23" i="15"/>
  <c r="I10" i="15"/>
  <c r="I28" i="15"/>
  <c r="I20" i="15"/>
  <c r="I17" i="15"/>
  <c r="I9" i="15"/>
  <c r="I33" i="15"/>
  <c r="I29" i="15"/>
  <c r="I18" i="15"/>
  <c r="I13" i="15"/>
  <c r="D25" i="7"/>
  <c r="Q20" i="12"/>
  <c r="Q25" i="12"/>
  <c r="Q27" i="12" s="1"/>
  <c r="F22" i="12" l="1"/>
  <c r="G34" i="7"/>
  <c r="G11" i="7"/>
  <c r="F25" i="12"/>
  <c r="G32" i="7"/>
  <c r="G26" i="7"/>
  <c r="G14" i="7"/>
  <c r="F12" i="12"/>
  <c r="G12" i="12" s="1"/>
  <c r="F18" i="12"/>
  <c r="G18" i="12" s="1"/>
  <c r="G22" i="7"/>
  <c r="G9" i="7"/>
  <c r="F34" i="12"/>
  <c r="G34" i="12" s="1"/>
  <c r="F16" i="12"/>
  <c r="G16" i="12" s="1"/>
  <c r="G18" i="7"/>
  <c r="G10" i="7"/>
  <c r="F32" i="12"/>
  <c r="F14" i="12"/>
  <c r="G21" i="7"/>
  <c r="G35" i="7"/>
  <c r="F30" i="12"/>
  <c r="F28" i="12"/>
  <c r="G28" i="12" s="1"/>
  <c r="G33" i="7"/>
  <c r="G19" i="7"/>
  <c r="F21" i="12"/>
  <c r="F24" i="12"/>
  <c r="D11" i="2"/>
  <c r="E18" i="12"/>
  <c r="E34" i="12"/>
  <c r="E23" i="12"/>
  <c r="E9" i="12"/>
  <c r="G9" i="12" s="1"/>
  <c r="E26" i="12"/>
  <c r="E28" i="12"/>
  <c r="E31" i="12"/>
  <c r="E19" i="12"/>
  <c r="G19" i="12" s="1"/>
  <c r="E21" i="12"/>
  <c r="E22" i="12"/>
  <c r="G22" i="12" s="1"/>
  <c r="E24" i="12"/>
  <c r="E25" i="12"/>
  <c r="G25" i="12" s="1"/>
  <c r="E20" i="12"/>
  <c r="G20" i="12" s="1"/>
  <c r="E15" i="12"/>
  <c r="G15" i="12" s="1"/>
  <c r="E33" i="12"/>
  <c r="G33" i="12" s="1"/>
  <c r="E5" i="12"/>
  <c r="G5" i="12" s="1"/>
  <c r="E6" i="12"/>
  <c r="E11" i="12"/>
  <c r="E14" i="12"/>
  <c r="G14" i="12" s="1"/>
  <c r="E16" i="12"/>
  <c r="E7" i="12"/>
  <c r="E10" i="12"/>
  <c r="G10" i="12" s="1"/>
  <c r="E29" i="12"/>
  <c r="G29" i="12" s="1"/>
  <c r="E30" i="12"/>
  <c r="E17" i="12"/>
  <c r="G17" i="12" s="1"/>
  <c r="E8" i="12"/>
  <c r="G8" i="12" s="1"/>
  <c r="E12" i="12"/>
  <c r="E32" i="12"/>
  <c r="G32" i="12" s="1"/>
  <c r="E13" i="12"/>
  <c r="G13" i="12" s="1"/>
  <c r="E27" i="12"/>
  <c r="G27" i="12" s="1"/>
  <c r="J27" i="15"/>
  <c r="L28" i="20" s="1"/>
  <c r="J9" i="15"/>
  <c r="L10" i="20" s="1"/>
  <c r="J29" i="15"/>
  <c r="L30" i="20" s="1"/>
  <c r="J26" i="15"/>
  <c r="L27" i="20" s="1"/>
  <c r="J28" i="15"/>
  <c r="L29" i="20" s="1"/>
  <c r="J12" i="15"/>
  <c r="L13" i="20" s="1"/>
  <c r="J20" i="15"/>
  <c r="L21" i="20" s="1"/>
  <c r="J31" i="15"/>
  <c r="L32" i="20" s="1"/>
  <c r="J13" i="15"/>
  <c r="L14" i="20" s="1"/>
  <c r="J18" i="15"/>
  <c r="L19" i="20" s="1"/>
  <c r="J19" i="15"/>
  <c r="L20" i="20" s="1"/>
  <c r="J34" i="15"/>
  <c r="L35" i="20" s="1"/>
  <c r="J17" i="15"/>
  <c r="L18" i="20" s="1"/>
  <c r="J10" i="15"/>
  <c r="L11" i="20" s="1"/>
  <c r="J23" i="15"/>
  <c r="L24" i="20" s="1"/>
  <c r="J25" i="15"/>
  <c r="L26" i="20" s="1"/>
  <c r="J14" i="15"/>
  <c r="L15" i="20" s="1"/>
  <c r="J11" i="15"/>
  <c r="L12" i="20" s="1"/>
  <c r="J15" i="15"/>
  <c r="L16" i="20" s="1"/>
  <c r="J16" i="15"/>
  <c r="L17" i="20" s="1"/>
  <c r="J33" i="15"/>
  <c r="L34" i="20" s="1"/>
  <c r="J32" i="15"/>
  <c r="L33" i="20" s="1"/>
  <c r="D26" i="7"/>
  <c r="G6" i="12"/>
  <c r="G31" i="12"/>
  <c r="E4" i="12"/>
  <c r="G4" i="12" s="1"/>
  <c r="G26" i="12"/>
  <c r="D8" i="12"/>
  <c r="D23" i="12"/>
  <c r="D27" i="12"/>
  <c r="D30" i="12"/>
  <c r="D17" i="12"/>
  <c r="D19" i="12"/>
  <c r="D7" i="12"/>
  <c r="D24" i="12"/>
  <c r="D29" i="12"/>
  <c r="D15" i="12"/>
  <c r="D6" i="12"/>
  <c r="D25" i="12"/>
  <c r="D11" i="12"/>
  <c r="D13" i="12"/>
  <c r="D33" i="12"/>
  <c r="D10" i="12"/>
  <c r="D26" i="12"/>
  <c r="D14" i="12"/>
  <c r="D31" i="12"/>
  <c r="D4" i="12"/>
  <c r="D12" i="12"/>
  <c r="D28" i="12"/>
  <c r="D16" i="12"/>
  <c r="D22" i="12"/>
  <c r="D18" i="12"/>
  <c r="D21" i="12"/>
  <c r="D32" i="12"/>
  <c r="D34" i="12"/>
  <c r="D5" i="12"/>
  <c r="D9" i="12"/>
  <c r="D20" i="12"/>
  <c r="G23" i="12"/>
  <c r="G11" i="12"/>
  <c r="G30" i="12" l="1"/>
  <c r="G7" i="12"/>
  <c r="H7" i="12" s="1"/>
  <c r="J8" i="20" s="1"/>
  <c r="G24" i="12"/>
  <c r="G21" i="12"/>
  <c r="D9" i="2"/>
  <c r="H5" i="12"/>
  <c r="J6" i="20" s="1"/>
  <c r="H20" i="12"/>
  <c r="J21" i="20" s="1"/>
  <c r="H24" i="12"/>
  <c r="J25" i="20" s="1"/>
  <c r="H25" i="12"/>
  <c r="J26" i="20" s="1"/>
  <c r="H21" i="12"/>
  <c r="J22" i="20" s="1"/>
  <c r="H15" i="12"/>
  <c r="J16" i="20" s="1"/>
  <c r="H22" i="12"/>
  <c r="J23" i="20" s="1"/>
  <c r="H17" i="12"/>
  <c r="J18" i="20" s="1"/>
  <c r="H33" i="12"/>
  <c r="J34" i="20" s="1"/>
  <c r="H10" i="12"/>
  <c r="J11" i="20" s="1"/>
  <c r="H27" i="12"/>
  <c r="J28" i="20" s="1"/>
  <c r="H32" i="12"/>
  <c r="J33" i="20" s="1"/>
  <c r="H8" i="12"/>
  <c r="J9" i="20" s="1"/>
  <c r="H29" i="12"/>
  <c r="J30" i="20" s="1"/>
  <c r="H12" i="12"/>
  <c r="J13" i="20" s="1"/>
  <c r="H30" i="12"/>
  <c r="J31" i="20" s="1"/>
  <c r="H6" i="12"/>
  <c r="J7" i="20" s="1"/>
  <c r="H14" i="12"/>
  <c r="J15" i="20" s="1"/>
  <c r="H34" i="12"/>
  <c r="J35" i="20" s="1"/>
  <c r="H26" i="12"/>
  <c r="J27" i="20" s="1"/>
  <c r="H13" i="12"/>
  <c r="J14" i="20" s="1"/>
  <c r="H9" i="12"/>
  <c r="J10" i="20" s="1"/>
  <c r="H11" i="12"/>
  <c r="J12" i="20" s="1"/>
  <c r="H16" i="12"/>
  <c r="J17" i="20" s="1"/>
  <c r="H28" i="12"/>
  <c r="J29" i="20" s="1"/>
  <c r="H23" i="12"/>
  <c r="J24" i="20" s="1"/>
  <c r="H19" i="12"/>
  <c r="J20" i="20" s="1"/>
  <c r="H18" i="12"/>
  <c r="J19" i="20" s="1"/>
  <c r="H4" i="12"/>
  <c r="J5" i="20" s="1"/>
  <c r="H31" i="12"/>
  <c r="J32" i="20" s="1"/>
  <c r="J35" i="15"/>
  <c r="L36" i="20"/>
  <c r="C11" i="2" s="1"/>
  <c r="D27" i="7"/>
  <c r="H35" i="12" l="1"/>
  <c r="J36" i="20"/>
  <c r="D28" i="7"/>
  <c r="D29" i="7" l="1"/>
  <c r="E11" i="9"/>
  <c r="P11" i="9" s="1"/>
  <c r="E12" i="9"/>
  <c r="P12" i="9" s="1"/>
  <c r="E13" i="9"/>
  <c r="P13" i="9" s="1"/>
  <c r="E14" i="9"/>
  <c r="P14" i="9" s="1"/>
  <c r="E15" i="9"/>
  <c r="P15" i="9" s="1"/>
  <c r="E16" i="9"/>
  <c r="P16" i="9" s="1"/>
  <c r="E17" i="9"/>
  <c r="P17" i="9" s="1"/>
  <c r="E18" i="9"/>
  <c r="P18" i="9" s="1"/>
  <c r="E19" i="9"/>
  <c r="P19" i="9" s="1"/>
  <c r="E20" i="9"/>
  <c r="P20" i="9" s="1"/>
  <c r="E21" i="9"/>
  <c r="P21" i="9" s="1"/>
  <c r="E22" i="9"/>
  <c r="P22" i="9" s="1"/>
  <c r="E23" i="9"/>
  <c r="P23" i="9" s="1"/>
  <c r="E24" i="9"/>
  <c r="P24" i="9" s="1"/>
  <c r="E25" i="9"/>
  <c r="P25" i="9" s="1"/>
  <c r="E26" i="9"/>
  <c r="P26" i="9" s="1"/>
  <c r="E27" i="9"/>
  <c r="P27" i="9" s="1"/>
  <c r="E28" i="9"/>
  <c r="P28" i="9" s="1"/>
  <c r="E29" i="9"/>
  <c r="P29" i="9" s="1"/>
  <c r="E30" i="9"/>
  <c r="P30" i="9" s="1"/>
  <c r="E31" i="9"/>
  <c r="P31" i="9" s="1"/>
  <c r="E32" i="9"/>
  <c r="P32" i="9" s="1"/>
  <c r="E33" i="9"/>
  <c r="P33" i="9" s="1"/>
  <c r="E34" i="9"/>
  <c r="P9" i="9"/>
  <c r="E10" i="9"/>
  <c r="P10" i="9" s="1"/>
  <c r="Q23" i="9" l="1"/>
  <c r="H24" i="20" s="1"/>
  <c r="Q21" i="9"/>
  <c r="H22" i="20" s="1"/>
  <c r="Q18" i="9"/>
  <c r="H19" i="20" s="1"/>
  <c r="Q25" i="9"/>
  <c r="H26" i="20" s="1"/>
  <c r="Q19" i="9"/>
  <c r="H20" i="20" s="1"/>
  <c r="Q33" i="9"/>
  <c r="H34" i="20" s="1"/>
  <c r="Q17" i="9"/>
  <c r="H18" i="20" s="1"/>
  <c r="Q24" i="9"/>
  <c r="H25" i="20" s="1"/>
  <c r="Q32" i="9"/>
  <c r="H33" i="20" s="1"/>
  <c r="Q16" i="9"/>
  <c r="H17" i="20" s="1"/>
  <c r="Q9" i="9"/>
  <c r="H10" i="20" s="1"/>
  <c r="Q31" i="9"/>
  <c r="H32" i="20" s="1"/>
  <c r="Q15" i="9"/>
  <c r="H16" i="20" s="1"/>
  <c r="Q14" i="9"/>
  <c r="H15" i="20" s="1"/>
  <c r="Q30" i="9"/>
  <c r="H31" i="20" s="1"/>
  <c r="Q29" i="9"/>
  <c r="H30" i="20" s="1"/>
  <c r="Q13" i="9"/>
  <c r="H14" i="20" s="1"/>
  <c r="Q22" i="9"/>
  <c r="H23" i="20" s="1"/>
  <c r="Q28" i="9"/>
  <c r="H29" i="20" s="1"/>
  <c r="Q12" i="9"/>
  <c r="H13" i="20" s="1"/>
  <c r="Q20" i="9"/>
  <c r="H21" i="20" s="1"/>
  <c r="Q27" i="9"/>
  <c r="H28" i="20" s="1"/>
  <c r="Q11" i="9"/>
  <c r="H12" i="20" s="1"/>
  <c r="Q10" i="9"/>
  <c r="H11" i="20" s="1"/>
  <c r="Q26" i="9"/>
  <c r="H27" i="20" s="1"/>
  <c r="D30" i="7"/>
  <c r="P34" i="9"/>
  <c r="D7" i="2" s="1"/>
  <c r="Q34" i="9" l="1"/>
  <c r="D31" i="7"/>
  <c r="Q35" i="9" l="1"/>
  <c r="H35" i="20"/>
  <c r="H36" i="20" s="1"/>
  <c r="C7" i="2" s="1"/>
  <c r="D32" i="7"/>
  <c r="D33" i="7" s="1"/>
  <c r="C34" i="1"/>
  <c r="E10" i="7" l="1"/>
  <c r="E9" i="7"/>
  <c r="D9" i="14"/>
  <c r="D8" i="14"/>
  <c r="D9" i="4"/>
  <c r="D8" i="4"/>
  <c r="D10" i="4"/>
  <c r="D11" i="4" s="1"/>
  <c r="D12" i="4" s="1"/>
  <c r="D13" i="4" s="1"/>
  <c r="D14" i="4" s="1"/>
  <c r="D15" i="4" s="1"/>
  <c r="D16" i="4" s="1"/>
  <c r="D17" i="4" s="1"/>
  <c r="D18" i="4" s="1"/>
  <c r="D19" i="4" s="1"/>
  <c r="D20" i="4" s="1"/>
  <c r="D21" i="4" s="1"/>
  <c r="D22" i="4" s="1"/>
  <c r="D23" i="4" s="1"/>
  <c r="D24" i="4" s="1"/>
  <c r="D25" i="4" s="1"/>
  <c r="D26" i="4" s="1"/>
  <c r="D27" i="4" s="1"/>
  <c r="D28" i="4" s="1"/>
  <c r="D29" i="4" s="1"/>
  <c r="D30" i="4" s="1"/>
  <c r="D31" i="4" s="1"/>
  <c r="F11" i="7"/>
  <c r="F27" i="7"/>
  <c r="F32" i="7"/>
  <c r="H32" i="7" s="1"/>
  <c r="F17" i="7"/>
  <c r="F33" i="7"/>
  <c r="H33" i="7" s="1"/>
  <c r="F18" i="7"/>
  <c r="F19" i="7"/>
  <c r="F10" i="7"/>
  <c r="F12" i="7"/>
  <c r="F28" i="7"/>
  <c r="F30" i="7"/>
  <c r="F21" i="7"/>
  <c r="F24" i="7"/>
  <c r="F13" i="7"/>
  <c r="F29" i="7"/>
  <c r="F14" i="7"/>
  <c r="F15" i="7"/>
  <c r="F31" i="7"/>
  <c r="F16" i="7"/>
  <c r="F34" i="7"/>
  <c r="F20" i="7"/>
  <c r="F22" i="7"/>
  <c r="F25" i="7"/>
  <c r="F23" i="7"/>
  <c r="F9" i="7"/>
  <c r="F35" i="7"/>
  <c r="F26" i="7"/>
  <c r="F7" i="14"/>
  <c r="F8" i="14"/>
  <c r="H33" i="6"/>
  <c r="H34" i="6"/>
  <c r="H5" i="6"/>
  <c r="H6" i="6"/>
  <c r="H4" i="6"/>
  <c r="D32" i="4" l="1"/>
  <c r="D33" i="4" s="1"/>
  <c r="D34" i="4" s="1"/>
  <c r="H32" i="6"/>
  <c r="I32" i="6" s="1"/>
  <c r="F33" i="20" s="1"/>
  <c r="I34" i="6"/>
  <c r="F35" i="20" s="1"/>
  <c r="I33" i="6"/>
  <c r="F34" i="20" s="1"/>
  <c r="I6" i="6"/>
  <c r="F7" i="20" s="1"/>
  <c r="M7" i="20" s="1"/>
  <c r="I4" i="6"/>
  <c r="F5" i="20" s="1"/>
  <c r="M5" i="20" s="1"/>
  <c r="I5" i="6"/>
  <c r="F6" i="20" s="1"/>
  <c r="M6" i="20" s="1"/>
  <c r="G8" i="14"/>
  <c r="K9" i="20" s="1"/>
  <c r="G7" i="14"/>
  <c r="M8" i="7"/>
  <c r="M9" i="7"/>
  <c r="M10" i="7"/>
  <c r="H9" i="7"/>
  <c r="J9" i="7"/>
  <c r="H23" i="7"/>
  <c r="J23" i="7"/>
  <c r="H19" i="7"/>
  <c r="J19" i="7"/>
  <c r="H17" i="7"/>
  <c r="J17" i="7"/>
  <c r="H12" i="7"/>
  <c r="J12" i="7"/>
  <c r="H10" i="7"/>
  <c r="J10" i="7"/>
  <c r="H18" i="7"/>
  <c r="J18" i="7"/>
  <c r="H15" i="7"/>
  <c r="J15" i="7"/>
  <c r="H27" i="7"/>
  <c r="J27" i="7"/>
  <c r="H14" i="7"/>
  <c r="J14" i="7"/>
  <c r="H11" i="7"/>
  <c r="J11" i="7"/>
  <c r="H29" i="7"/>
  <c r="J29" i="7"/>
  <c r="H13" i="7"/>
  <c r="J13" i="7"/>
  <c r="H22" i="7"/>
  <c r="J22" i="7"/>
  <c r="H20" i="7"/>
  <c r="J20" i="7"/>
  <c r="H16" i="7"/>
  <c r="J16" i="7"/>
  <c r="H24" i="7"/>
  <c r="J24" i="7"/>
  <c r="H8" i="7"/>
  <c r="J8" i="7"/>
  <c r="H21" i="7"/>
  <c r="J21" i="7"/>
  <c r="J32" i="7"/>
  <c r="H28" i="7"/>
  <c r="J28" i="7"/>
  <c r="H25" i="7"/>
  <c r="J25" i="7"/>
  <c r="H31" i="7"/>
  <c r="J31" i="7"/>
  <c r="H26" i="7"/>
  <c r="J26" i="7"/>
  <c r="H30" i="7"/>
  <c r="J30" i="7"/>
  <c r="D34" i="7"/>
  <c r="J33" i="7"/>
  <c r="K8" i="7"/>
  <c r="L8" i="7"/>
  <c r="K9" i="7"/>
  <c r="L9" i="7"/>
  <c r="E11" i="7"/>
  <c r="K10" i="7"/>
  <c r="L10" i="7"/>
  <c r="F9" i="14"/>
  <c r="D10" i="14"/>
  <c r="F7" i="4"/>
  <c r="K8" i="20" l="1"/>
  <c r="O8" i="7"/>
  <c r="N8" i="7"/>
  <c r="G7" i="4"/>
  <c r="E8" i="20" s="1"/>
  <c r="G9" i="14"/>
  <c r="K10" i="20" s="1"/>
  <c r="O10" i="7"/>
  <c r="N10" i="7"/>
  <c r="P10" i="7" s="1"/>
  <c r="G10" i="20" s="1"/>
  <c r="N9" i="7"/>
  <c r="M11" i="7"/>
  <c r="O11" i="7" s="1"/>
  <c r="O9" i="7"/>
  <c r="D35" i="7"/>
  <c r="J34" i="7"/>
  <c r="H34" i="7"/>
  <c r="E12" i="7"/>
  <c r="K11" i="7"/>
  <c r="L11" i="7"/>
  <c r="D11" i="14"/>
  <c r="F10" i="14"/>
  <c r="H12" i="6"/>
  <c r="P8" i="7" l="1"/>
  <c r="G8" i="20" s="1"/>
  <c r="P9" i="7"/>
  <c r="G9" i="20" s="1"/>
  <c r="I12" i="6"/>
  <c r="F13" i="20" s="1"/>
  <c r="G10" i="14"/>
  <c r="K11" i="20" s="1"/>
  <c r="M12" i="7"/>
  <c r="O12" i="7" s="1"/>
  <c r="N11" i="7"/>
  <c r="P11" i="7" s="1"/>
  <c r="G11" i="20" s="1"/>
  <c r="J35" i="7"/>
  <c r="H35" i="7"/>
  <c r="E13" i="7"/>
  <c r="L12" i="7"/>
  <c r="K12" i="7"/>
  <c r="D12" i="14"/>
  <c r="F11" i="14"/>
  <c r="G11" i="14" l="1"/>
  <c r="K12" i="20" s="1"/>
  <c r="M13" i="7"/>
  <c r="O13" i="7" s="1"/>
  <c r="N12" i="7"/>
  <c r="P12" i="7" s="1"/>
  <c r="G12" i="20" s="1"/>
  <c r="E14" i="7"/>
  <c r="L13" i="7"/>
  <c r="K13" i="7"/>
  <c r="D13" i="14"/>
  <c r="F12" i="14"/>
  <c r="G12" i="14" l="1"/>
  <c r="K13" i="20" s="1"/>
  <c r="M14" i="7"/>
  <c r="O14" i="7" s="1"/>
  <c r="N13" i="7"/>
  <c r="P13" i="7" s="1"/>
  <c r="G13" i="20" s="1"/>
  <c r="E15" i="7"/>
  <c r="L14" i="7"/>
  <c r="K14" i="7"/>
  <c r="D14" i="14"/>
  <c r="F13" i="14"/>
  <c r="G13" i="14" l="1"/>
  <c r="K14" i="20" s="1"/>
  <c r="N14" i="7"/>
  <c r="P14" i="7" s="1"/>
  <c r="G14" i="20" s="1"/>
  <c r="M15" i="7"/>
  <c r="O15" i="7" s="1"/>
  <c r="E16" i="7"/>
  <c r="L15" i="7"/>
  <c r="K15" i="7"/>
  <c r="D15" i="14"/>
  <c r="F14" i="14"/>
  <c r="G14" i="14" l="1"/>
  <c r="K15" i="20" s="1"/>
  <c r="N15" i="7"/>
  <c r="P15" i="7" s="1"/>
  <c r="G15" i="20" s="1"/>
  <c r="M16" i="7"/>
  <c r="O16" i="7" s="1"/>
  <c r="E17" i="7"/>
  <c r="K16" i="7"/>
  <c r="L16" i="7"/>
  <c r="D16" i="14"/>
  <c r="F15" i="14"/>
  <c r="G15" i="14" l="1"/>
  <c r="K16" i="20" s="1"/>
  <c r="M17" i="7"/>
  <c r="O17" i="7" s="1"/>
  <c r="N16" i="7"/>
  <c r="P16" i="7" s="1"/>
  <c r="G16" i="20" s="1"/>
  <c r="E18" i="7"/>
  <c r="K17" i="7"/>
  <c r="L17" i="7"/>
  <c r="D17" i="14"/>
  <c r="F16" i="14"/>
  <c r="G16" i="14" l="1"/>
  <c r="K17" i="20" s="1"/>
  <c r="N17" i="7"/>
  <c r="P17" i="7" s="1"/>
  <c r="G17" i="20" s="1"/>
  <c r="M18" i="7"/>
  <c r="O18" i="7" s="1"/>
  <c r="E19" i="7"/>
  <c r="K18" i="7"/>
  <c r="L18" i="7"/>
  <c r="D18" i="14"/>
  <c r="F17" i="14"/>
  <c r="G17" i="14" l="1"/>
  <c r="K18" i="20" s="1"/>
  <c r="N18" i="7"/>
  <c r="P18" i="7" s="1"/>
  <c r="G18" i="20" s="1"/>
  <c r="M19" i="7"/>
  <c r="O19" i="7" s="1"/>
  <c r="E20" i="7"/>
  <c r="K19" i="7"/>
  <c r="L19" i="7"/>
  <c r="D19" i="14"/>
  <c r="F18" i="14"/>
  <c r="G18" i="14" l="1"/>
  <c r="K19" i="20" s="1"/>
  <c r="M20" i="7"/>
  <c r="O20" i="7" s="1"/>
  <c r="N19" i="7"/>
  <c r="P19" i="7" s="1"/>
  <c r="G19" i="20" s="1"/>
  <c r="E21" i="7"/>
  <c r="K20" i="7"/>
  <c r="L20" i="7"/>
  <c r="D20" i="14"/>
  <c r="F19" i="14"/>
  <c r="G19" i="14" l="1"/>
  <c r="K20" i="20" s="1"/>
  <c r="M21" i="7"/>
  <c r="O21" i="7" s="1"/>
  <c r="N20" i="7"/>
  <c r="P20" i="7" s="1"/>
  <c r="G20" i="20" s="1"/>
  <c r="E22" i="7"/>
  <c r="L21" i="7"/>
  <c r="K21" i="7"/>
  <c r="D21" i="14"/>
  <c r="F20" i="14"/>
  <c r="G20" i="14" l="1"/>
  <c r="K21" i="20" s="1"/>
  <c r="M22" i="7"/>
  <c r="O22" i="7" s="1"/>
  <c r="N21" i="7"/>
  <c r="P21" i="7" s="1"/>
  <c r="G21" i="20" s="1"/>
  <c r="E23" i="7"/>
  <c r="L22" i="7"/>
  <c r="K22" i="7"/>
  <c r="D22" i="14"/>
  <c r="F21" i="14"/>
  <c r="G21" i="14" l="1"/>
  <c r="K22" i="20" s="1"/>
  <c r="N22" i="7"/>
  <c r="P22" i="7" s="1"/>
  <c r="G22" i="20" s="1"/>
  <c r="M23" i="7"/>
  <c r="O23" i="7" s="1"/>
  <c r="E24" i="7"/>
  <c r="K23" i="7"/>
  <c r="L23" i="7"/>
  <c r="D23" i="14"/>
  <c r="F22" i="14"/>
  <c r="G22" i="14" l="1"/>
  <c r="K23" i="20" s="1"/>
  <c r="M24" i="7"/>
  <c r="O24" i="7" s="1"/>
  <c r="N23" i="7"/>
  <c r="P23" i="7" s="1"/>
  <c r="G23" i="20" s="1"/>
  <c r="E25" i="7"/>
  <c r="L24" i="7"/>
  <c r="K24" i="7"/>
  <c r="D24" i="14"/>
  <c r="F23" i="14"/>
  <c r="G23" i="14" l="1"/>
  <c r="K24" i="20" s="1"/>
  <c r="M25" i="7"/>
  <c r="O25" i="7" s="1"/>
  <c r="N24" i="7"/>
  <c r="P24" i="7" s="1"/>
  <c r="G24" i="20" s="1"/>
  <c r="E26" i="7"/>
  <c r="L25" i="7"/>
  <c r="K25" i="7"/>
  <c r="D25" i="14"/>
  <c r="F24" i="14"/>
  <c r="G24" i="14" l="1"/>
  <c r="K25" i="20" s="1"/>
  <c r="M26" i="7"/>
  <c r="O26" i="7" s="1"/>
  <c r="N25" i="7"/>
  <c r="P25" i="7" s="1"/>
  <c r="G25" i="20" s="1"/>
  <c r="E27" i="7"/>
  <c r="L26" i="7"/>
  <c r="K26" i="7"/>
  <c r="D26" i="14"/>
  <c r="F25" i="14"/>
  <c r="G25" i="14" l="1"/>
  <c r="K26" i="20" s="1"/>
  <c r="N26" i="7"/>
  <c r="P26" i="7" s="1"/>
  <c r="G26" i="20" s="1"/>
  <c r="M27" i="7"/>
  <c r="O27" i="7" s="1"/>
  <c r="E28" i="7"/>
  <c r="L27" i="7"/>
  <c r="K27" i="7"/>
  <c r="D27" i="14"/>
  <c r="F26" i="14"/>
  <c r="G26" i="14" l="1"/>
  <c r="K27" i="20" s="1"/>
  <c r="M28" i="7"/>
  <c r="O28" i="7" s="1"/>
  <c r="N27" i="7"/>
  <c r="P27" i="7" s="1"/>
  <c r="G27" i="20" s="1"/>
  <c r="E29" i="7"/>
  <c r="L28" i="7"/>
  <c r="K28" i="7"/>
  <c r="D28" i="14"/>
  <c r="F27" i="14"/>
  <c r="G27" i="14" l="1"/>
  <c r="K28" i="20" s="1"/>
  <c r="M29" i="7"/>
  <c r="O29" i="7" s="1"/>
  <c r="N28" i="7"/>
  <c r="P28" i="7" s="1"/>
  <c r="G28" i="20" s="1"/>
  <c r="E30" i="7"/>
  <c r="K29" i="7"/>
  <c r="L29" i="7"/>
  <c r="D29" i="14"/>
  <c r="F28" i="14"/>
  <c r="G28" i="14" l="1"/>
  <c r="K29" i="20" s="1"/>
  <c r="N29" i="7"/>
  <c r="P29" i="7" s="1"/>
  <c r="G29" i="20" s="1"/>
  <c r="M30" i="7"/>
  <c r="O30" i="7" s="1"/>
  <c r="E31" i="7"/>
  <c r="L30" i="7"/>
  <c r="K30" i="7"/>
  <c r="D30" i="14"/>
  <c r="F29" i="14"/>
  <c r="G29" i="14" l="1"/>
  <c r="K30" i="20" s="1"/>
  <c r="M31" i="7"/>
  <c r="O31" i="7" s="1"/>
  <c r="N30" i="7"/>
  <c r="P30" i="7" s="1"/>
  <c r="G30" i="20" s="1"/>
  <c r="E32" i="7"/>
  <c r="L31" i="7"/>
  <c r="K31" i="7"/>
  <c r="D31" i="14"/>
  <c r="F30" i="14"/>
  <c r="G30" i="14" l="1"/>
  <c r="K31" i="20" s="1"/>
  <c r="M32" i="7"/>
  <c r="O32" i="7" s="1"/>
  <c r="N31" i="7"/>
  <c r="P31" i="7" s="1"/>
  <c r="G31" i="20" s="1"/>
  <c r="E33" i="7"/>
  <c r="K32" i="7"/>
  <c r="L32" i="7"/>
  <c r="D32" i="14"/>
  <c r="F31" i="14"/>
  <c r="G31" i="14" l="1"/>
  <c r="K32" i="20" s="1"/>
  <c r="M33" i="7"/>
  <c r="O33" i="7" s="1"/>
  <c r="N32" i="7"/>
  <c r="P32" i="7" s="1"/>
  <c r="G32" i="20" s="1"/>
  <c r="E34" i="7"/>
  <c r="K33" i="7"/>
  <c r="L33" i="7"/>
  <c r="D33" i="14"/>
  <c r="F32" i="14"/>
  <c r="G32" i="14" l="1"/>
  <c r="K33" i="20" s="1"/>
  <c r="M34" i="7"/>
  <c r="O34" i="7" s="1"/>
  <c r="N33" i="7"/>
  <c r="P33" i="7" s="1"/>
  <c r="G33" i="20" s="1"/>
  <c r="E35" i="7"/>
  <c r="K34" i="7"/>
  <c r="L34" i="7"/>
  <c r="D34" i="14"/>
  <c r="F34" i="14" s="1"/>
  <c r="D10" i="2" s="1"/>
  <c r="F33" i="14"/>
  <c r="G33" i="14" l="1"/>
  <c r="K34" i="20" s="1"/>
  <c r="G34" i="14"/>
  <c r="M35" i="7"/>
  <c r="O35" i="7" s="1"/>
  <c r="N34" i="7"/>
  <c r="P34" i="7" s="1"/>
  <c r="G34" i="20" s="1"/>
  <c r="K35" i="7"/>
  <c r="L35" i="7"/>
  <c r="H30" i="6"/>
  <c r="I30" i="6" s="1"/>
  <c r="F31" i="20" s="1"/>
  <c r="K35" i="20" l="1"/>
  <c r="K36" i="20" s="1"/>
  <c r="C10" i="2" s="1"/>
  <c r="G35" i="14"/>
  <c r="H31" i="6"/>
  <c r="I31" i="6" s="1"/>
  <c r="F32" i="20" s="1"/>
  <c r="N35" i="7"/>
  <c r="H22" i="6"/>
  <c r="H23" i="6"/>
  <c r="H9" i="6"/>
  <c r="H27" i="6"/>
  <c r="H26" i="6"/>
  <c r="H10" i="6"/>
  <c r="H20" i="6"/>
  <c r="H11" i="6"/>
  <c r="H19" i="6"/>
  <c r="H15" i="6"/>
  <c r="H24" i="6"/>
  <c r="D6" i="2" l="1"/>
  <c r="P35" i="7"/>
  <c r="I15" i="6"/>
  <c r="F16" i="20" s="1"/>
  <c r="I23" i="6"/>
  <c r="F24" i="20" s="1"/>
  <c r="I22" i="6"/>
  <c r="F23" i="20" s="1"/>
  <c r="I27" i="6"/>
  <c r="F28" i="20" s="1"/>
  <c r="I11" i="6"/>
  <c r="F12" i="20" s="1"/>
  <c r="I20" i="6"/>
  <c r="F21" i="20" s="1"/>
  <c r="I9" i="6"/>
  <c r="F10" i="20" s="1"/>
  <c r="I19" i="6"/>
  <c r="F20" i="20" s="1"/>
  <c r="I10" i="6"/>
  <c r="F11" i="20" s="1"/>
  <c r="I24" i="6"/>
  <c r="F25" i="20" s="1"/>
  <c r="I26" i="6"/>
  <c r="F27" i="20" s="1"/>
  <c r="H21" i="6"/>
  <c r="H13" i="6"/>
  <c r="H7" i="6"/>
  <c r="H29" i="6"/>
  <c r="H25" i="6"/>
  <c r="H16" i="6"/>
  <c r="H28" i="6"/>
  <c r="H17" i="6"/>
  <c r="H18" i="6"/>
  <c r="H8" i="6"/>
  <c r="H14" i="6"/>
  <c r="D5" i="2" l="1"/>
  <c r="G35" i="20"/>
  <c r="G36" i="20" s="1"/>
  <c r="C6" i="2" s="1"/>
  <c r="P36" i="7"/>
  <c r="I13" i="6"/>
  <c r="F14" i="20" s="1"/>
  <c r="I16" i="6"/>
  <c r="F17" i="20" s="1"/>
  <c r="I25" i="6"/>
  <c r="F26" i="20" s="1"/>
  <c r="I7" i="6"/>
  <c r="F8" i="20" s="1"/>
  <c r="M8" i="20" s="1"/>
  <c r="I8" i="6"/>
  <c r="F9" i="20" s="1"/>
  <c r="I29" i="6"/>
  <c r="F30" i="20" s="1"/>
  <c r="I17" i="6"/>
  <c r="F18" i="20" s="1"/>
  <c r="I21" i="6"/>
  <c r="F22" i="20" s="1"/>
  <c r="I14" i="6"/>
  <c r="F15" i="20" s="1"/>
  <c r="I18" i="6"/>
  <c r="F19" i="20" s="1"/>
  <c r="I28" i="6"/>
  <c r="F29" i="20" s="1"/>
  <c r="F9" i="4"/>
  <c r="F8" i="4"/>
  <c r="G9" i="4" l="1"/>
  <c r="E10" i="20" s="1"/>
  <c r="M10" i="20" s="1"/>
  <c r="G8" i="4"/>
  <c r="E9" i="20" s="1"/>
  <c r="M9" i="20" s="1"/>
  <c r="I35" i="6"/>
  <c r="F36" i="20"/>
  <c r="C5" i="2" s="1"/>
  <c r="F10" i="4"/>
  <c r="G10" i="4" l="1"/>
  <c r="E11" i="20" s="1"/>
  <c r="M11" i="20" s="1"/>
  <c r="F11" i="4"/>
  <c r="G11" i="4" l="1"/>
  <c r="E12" i="20" s="1"/>
  <c r="M12" i="20" s="1"/>
  <c r="F12" i="4"/>
  <c r="G12" i="4" l="1"/>
  <c r="E13" i="20" s="1"/>
  <c r="M13" i="20" s="1"/>
  <c r="F13" i="4"/>
  <c r="G13" i="4" l="1"/>
  <c r="E14" i="20" s="1"/>
  <c r="M14" i="20" s="1"/>
  <c r="F14" i="4"/>
  <c r="G14" i="4" l="1"/>
  <c r="E15" i="20" s="1"/>
  <c r="M15" i="20" s="1"/>
  <c r="F15" i="4"/>
  <c r="G15" i="4" l="1"/>
  <c r="E16" i="20" s="1"/>
  <c r="M16" i="20" s="1"/>
  <c r="F16" i="4"/>
  <c r="G16" i="4" l="1"/>
  <c r="E17" i="20" s="1"/>
  <c r="M17" i="20" s="1"/>
  <c r="F17" i="4"/>
  <c r="G17" i="4" l="1"/>
  <c r="E18" i="20" s="1"/>
  <c r="M18" i="20" s="1"/>
  <c r="F18" i="4"/>
  <c r="G18" i="4" l="1"/>
  <c r="E19" i="20" s="1"/>
  <c r="M19" i="20" s="1"/>
  <c r="F19" i="4"/>
  <c r="G19" i="4" l="1"/>
  <c r="E20" i="20" s="1"/>
  <c r="M20" i="20" s="1"/>
  <c r="F20" i="4"/>
  <c r="G20" i="4" l="1"/>
  <c r="E21" i="20" s="1"/>
  <c r="M21" i="20" s="1"/>
  <c r="F21" i="4"/>
  <c r="G21" i="4" l="1"/>
  <c r="E22" i="20" s="1"/>
  <c r="M22" i="20" s="1"/>
  <c r="F22" i="4"/>
  <c r="G22" i="4" l="1"/>
  <c r="E23" i="20" s="1"/>
  <c r="M23" i="20" s="1"/>
  <c r="F23" i="4"/>
  <c r="G23" i="4" l="1"/>
  <c r="E24" i="20" s="1"/>
  <c r="M24" i="20" s="1"/>
  <c r="F24" i="4"/>
  <c r="G24" i="4" l="1"/>
  <c r="E25" i="20" s="1"/>
  <c r="M25" i="20" s="1"/>
  <c r="F25" i="4"/>
  <c r="G25" i="4" l="1"/>
  <c r="E26" i="20" s="1"/>
  <c r="M26" i="20" s="1"/>
  <c r="F26" i="4"/>
  <c r="G26" i="4" l="1"/>
  <c r="E27" i="20" s="1"/>
  <c r="M27" i="20" s="1"/>
  <c r="F27" i="4"/>
  <c r="G27" i="4" l="1"/>
  <c r="E28" i="20" s="1"/>
  <c r="M28" i="20" s="1"/>
  <c r="F28" i="4"/>
  <c r="G28" i="4" l="1"/>
  <c r="E29" i="20" s="1"/>
  <c r="M29" i="20" s="1"/>
  <c r="F29" i="4"/>
  <c r="G29" i="4" l="1"/>
  <c r="E30" i="20" s="1"/>
  <c r="M30" i="20" s="1"/>
  <c r="F30" i="4"/>
  <c r="G30" i="4" l="1"/>
  <c r="E31" i="20" s="1"/>
  <c r="M31" i="20" s="1"/>
  <c r="F31" i="4"/>
  <c r="G31" i="4" l="1"/>
  <c r="E32" i="20" s="1"/>
  <c r="M32" i="20" s="1"/>
  <c r="F32" i="4"/>
  <c r="G32" i="4" l="1"/>
  <c r="E33" i="20" s="1"/>
  <c r="M33" i="20" s="1"/>
  <c r="F33" i="4"/>
  <c r="G33" i="4" l="1"/>
  <c r="E34" i="20" s="1"/>
  <c r="M34" i="20" s="1"/>
  <c r="F34" i="4"/>
  <c r="D4" i="2" s="1"/>
  <c r="G34" i="4" l="1"/>
  <c r="G35" i="4" l="1"/>
  <c r="E35" i="20"/>
  <c r="E36" i="20" s="1"/>
  <c r="C4" i="2" s="1"/>
  <c r="C12" i="2" s="1"/>
  <c r="C15" i="2" s="1"/>
  <c r="D12" i="2"/>
  <c r="D15" i="2" s="1"/>
  <c r="M35" i="20" l="1"/>
  <c r="M36" i="20" s="1"/>
  <c r="L37" i="20" s="1"/>
  <c r="C16" i="2" s="1"/>
</calcChain>
</file>

<file path=xl/sharedStrings.xml><?xml version="1.0" encoding="utf-8"?>
<sst xmlns="http://schemas.openxmlformats.org/spreadsheetml/2006/main" count="2100" uniqueCount="858">
  <si>
    <t>Missouri Department of Transportation</t>
  </si>
  <si>
    <t xml:space="preserve">Freight, Innovation &amp; Safety for the Ozarks </t>
  </si>
  <si>
    <t>USDOT MPDG Grant Application</t>
  </si>
  <si>
    <t xml:space="preserve">The Benefit-Cost Model provided and data included herein have been developed by Crawford, Murphy &amp; Tilly, Inc (CMT) for the Missouri Department of Transportation (MoDOT) and the Ozarks Transportation Organization (OTO) for the use in the FIX I-44 USDOT MPDG Grant Application. 
This Model has been devleoped to accompany the Benefit-Cost Analysis Methodology &amp; Narrative, which provides additional detail on the data sources, assumptions, and methods used in this model. See this document for further details and explanation.
All data included within is based on the data available to MoDOT, OTO &amp; CMT and is assumed reliable and accurate. This information cannot be guaranteed or construed to represent judgements by the consultant. Such information and the results of its application by the consultant are subject to change without notice. </t>
  </si>
  <si>
    <t>FY2022 MPDG BENEFIT-COST ANALYSIS MODEL</t>
  </si>
  <si>
    <t>BCA Result Summary</t>
  </si>
  <si>
    <t>-</t>
  </si>
  <si>
    <t>Summary of BCA Results (Discounted vs. Non-Discounted)</t>
  </si>
  <si>
    <t>BCA Discount Summary</t>
  </si>
  <si>
    <t>Summary of Annual Discounted Benefits &amp; Costs</t>
  </si>
  <si>
    <t>1. Travel Time Savings</t>
  </si>
  <si>
    <t>Value of Reduced Travel Times Savings (Discounted)</t>
  </si>
  <si>
    <t>2. Safety</t>
  </si>
  <si>
    <t>Value of Improved Safety Benefits (Discounted)</t>
  </si>
  <si>
    <t>3. Emissions</t>
  </si>
  <si>
    <t>Value of Emissions Reduction (Discounted)</t>
  </si>
  <si>
    <t>4. O&amp;M</t>
  </si>
  <si>
    <t>Value of Operations &amp; Maintenance Reduction (Discounted)</t>
  </si>
  <si>
    <t>5. SOGR</t>
  </si>
  <si>
    <t>Value of Improved State of Good Repair (Discounted)</t>
  </si>
  <si>
    <t>7. Noise</t>
  </si>
  <si>
    <t>Value of Reduced Noise Pollution (Discounted)</t>
  </si>
  <si>
    <t>8. PED &amp; Cycling</t>
  </si>
  <si>
    <t>Value of Improved Pedestrian &amp; Cycling Safety &amp; Connectivity (Discounted)</t>
  </si>
  <si>
    <t>ASSUMPTIONS &amp; INPUT DATA</t>
  </si>
  <si>
    <t>Fixed Inputs &amp; Assumptions</t>
  </si>
  <si>
    <t>Summary of BCA Assumptions, Costs, Monetized Benefits, &amp; Fixed Inputs</t>
  </si>
  <si>
    <t>Traffic Inputs</t>
  </si>
  <si>
    <t>Traffic Delay &amp; Capacity Data (Derived from HCM Synchro Analysis)</t>
  </si>
  <si>
    <t>HSM Safety Inputs</t>
  </si>
  <si>
    <t>Crash Prediction Model (Derived from HSM iSATE Analysis)</t>
  </si>
  <si>
    <t>Queue Attributed Crashes</t>
  </si>
  <si>
    <t>Summary of I-44 Mainline Crashes (Derived from MoDOT Crash Database)</t>
  </si>
  <si>
    <t>I-44 Incident Reports</t>
  </si>
  <si>
    <t>Summary of I-44 Mainline Incident Management &amp; Delays</t>
  </si>
  <si>
    <t>Benefit-Cost Analysis Summary</t>
  </si>
  <si>
    <t>Benefits</t>
  </si>
  <si>
    <t>7% Discount Rate 
(in million $)</t>
  </si>
  <si>
    <t>Undiscounted
(in million $)</t>
  </si>
  <si>
    <t>Travel Time Savings</t>
  </si>
  <si>
    <t>Safety</t>
  </si>
  <si>
    <r>
      <t>Emissions Reduction (Non-CO</t>
    </r>
    <r>
      <rPr>
        <vertAlign val="subscript"/>
        <sz val="10"/>
        <color theme="1"/>
        <rFont val="Futura Lt BT"/>
        <family val="2"/>
      </rPr>
      <t>2</t>
    </r>
    <r>
      <rPr>
        <sz val="10"/>
        <color theme="1"/>
        <rFont val="Futura Lt BT"/>
        <family val="2"/>
      </rPr>
      <t xml:space="preserve"> @ 7% Discount + CO</t>
    </r>
    <r>
      <rPr>
        <vertAlign val="subscript"/>
        <sz val="10"/>
        <color theme="1"/>
        <rFont val="Futura Lt BT"/>
        <family val="2"/>
      </rPr>
      <t>2</t>
    </r>
    <r>
      <rPr>
        <sz val="10"/>
        <color theme="1"/>
        <rFont val="Futura Lt BT"/>
        <family val="2"/>
      </rPr>
      <t xml:space="preserve"> &amp; 3% Discount)</t>
    </r>
  </si>
  <si>
    <t>Operations &amp; Maintenance</t>
  </si>
  <si>
    <t>State of Good Repair</t>
  </si>
  <si>
    <t>Other Benefits - Freight Reliability</t>
  </si>
  <si>
    <t>Other Benefits - Noise Reduction</t>
  </si>
  <si>
    <t>Other Benefits - Pedestrian &amp; Cycling Facilities</t>
  </si>
  <si>
    <t>Total Benefits</t>
  </si>
  <si>
    <t>Total Project Costs (Undiscounted)</t>
  </si>
  <si>
    <t>Total Project Costs (7% Discounted)</t>
  </si>
  <si>
    <t>BCA Ratio (By Discount Rate)</t>
  </si>
  <si>
    <r>
      <t xml:space="preserve">Project BCA Ratio 
</t>
    </r>
    <r>
      <rPr>
        <sz val="8"/>
        <color theme="0"/>
        <rFont val="Gotham Medium"/>
        <family val="3"/>
      </rPr>
      <t>(Non CO</t>
    </r>
    <r>
      <rPr>
        <vertAlign val="subscript"/>
        <sz val="8"/>
        <color theme="0"/>
        <rFont val="Gotham Medium"/>
        <family val="3"/>
      </rPr>
      <t>2</t>
    </r>
    <r>
      <rPr>
        <sz val="8"/>
        <color theme="0"/>
        <rFont val="Gotham Medium"/>
        <family val="3"/>
      </rPr>
      <t xml:space="preserve"> @ 7% Discount + CO</t>
    </r>
    <r>
      <rPr>
        <vertAlign val="subscript"/>
        <sz val="8"/>
        <color theme="0"/>
        <rFont val="Gotham Medium"/>
        <family val="3"/>
      </rPr>
      <t>2</t>
    </r>
    <r>
      <rPr>
        <sz val="8"/>
        <color theme="0"/>
        <rFont val="Gotham Medium"/>
        <family val="3"/>
      </rPr>
      <t xml:space="preserve"> @ 3% Discount)</t>
    </r>
  </si>
  <si>
    <t>Year</t>
  </si>
  <si>
    <t>Discounted Program Costs
(7% Discounted)</t>
  </si>
  <si>
    <t>Discounted Project Benefits (Non CO2 @ 7% Discount + CO2 @ 3% Discount)</t>
  </si>
  <si>
    <t>Total Annual Discounted Benefits
(Non-CO2 @ 7% + CO2 @ 3%)</t>
  </si>
  <si>
    <t>3a. Emissions Reduction</t>
  </si>
  <si>
    <t>4. Operations &amp; Maintenance</t>
  </si>
  <si>
    <t>5. State of Good Repair</t>
  </si>
  <si>
    <t>6. Reliability</t>
  </si>
  <si>
    <t>7. Noise Reduction</t>
  </si>
  <si>
    <t>8. Pedestrian &amp; Cycling</t>
  </si>
  <si>
    <t>2025 (Construction)</t>
  </si>
  <si>
    <t>2026 (Construction)</t>
  </si>
  <si>
    <t>2027 (Construction)</t>
  </si>
  <si>
    <t>Total Discounted Project Costs &amp; Benefits</t>
  </si>
  <si>
    <t>Project BCA Ratio</t>
  </si>
  <si>
    <t>Value of Reduced Travel Time</t>
  </si>
  <si>
    <t>Calendar Year</t>
  </si>
  <si>
    <t>Total Average Annual Passenger Car Travel Delay Savings (Hours)</t>
  </si>
  <si>
    <t>Total Average Annual Truck Travel Delay Savings (Hours)</t>
  </si>
  <si>
    <t>Undiscounted Cost Savings</t>
  </si>
  <si>
    <t>Discounted Cost Savings 
(7% Discount)</t>
  </si>
  <si>
    <t>Total Savings (7% Discount)</t>
  </si>
  <si>
    <t>Notes:</t>
  </si>
  <si>
    <t>1. See 'Traffic Inputs' for Traffic Delay Summary</t>
  </si>
  <si>
    <t>Value of Reduced Crashes</t>
  </si>
  <si>
    <t>Fatal (K)</t>
  </si>
  <si>
    <t>Incapacitating Injury (A)</t>
  </si>
  <si>
    <t>Minor Injury/Possible Injury (BC)</t>
  </si>
  <si>
    <t>Property Damage Only/No Injury (PDO)</t>
  </si>
  <si>
    <t>1. See 'HSM Safety Inputs' for Traffic Safety Analysis Summary</t>
  </si>
  <si>
    <t>2. See 'Queue Attributed Crashes' for I-44 Queuing Crash Summary</t>
  </si>
  <si>
    <t>Value of Reduced Emissions</t>
  </si>
  <si>
    <t>Total Average Annual Passenger Vehicle Intersection Control Delay Savings (hrs)</t>
  </si>
  <si>
    <t>Total Average Annual Truck Intersection Control Delay Savings (hrs)</t>
  </si>
  <si>
    <r>
      <t>Reduction in Annual Corridor Incident Delays for Passenger Vehicles
(Hours)</t>
    </r>
    <r>
      <rPr>
        <b/>
        <vertAlign val="superscript"/>
        <sz val="10"/>
        <color theme="0"/>
        <rFont val="Futura Lt BT"/>
        <family val="2"/>
      </rPr>
      <t>3</t>
    </r>
  </si>
  <si>
    <r>
      <t>Reduction in Annual Corridor Incident Delays for Trucks
(Hours)</t>
    </r>
    <r>
      <rPr>
        <b/>
        <vertAlign val="superscript"/>
        <sz val="10"/>
        <color theme="0"/>
        <rFont val="Futura Lt BT"/>
        <family val="2"/>
      </rPr>
      <t>3</t>
    </r>
  </si>
  <si>
    <t>Passenger Vehicles</t>
  </si>
  <si>
    <t>Heavy-Duty Trucks</t>
  </si>
  <si>
    <r>
      <t>Un-Discounted Emissions Savings 
(excluding CO</t>
    </r>
    <r>
      <rPr>
        <b/>
        <vertAlign val="subscript"/>
        <sz val="10"/>
        <color theme="0"/>
        <rFont val="Futura Lt BT"/>
        <family val="2"/>
      </rPr>
      <t>2</t>
    </r>
    <r>
      <rPr>
        <b/>
        <sz val="10"/>
        <color theme="0"/>
        <rFont val="Futura Lt BT"/>
        <family val="2"/>
      </rPr>
      <t>)</t>
    </r>
  </si>
  <si>
    <r>
      <t>Undiscounted CO</t>
    </r>
    <r>
      <rPr>
        <b/>
        <vertAlign val="subscript"/>
        <sz val="10"/>
        <color theme="0"/>
        <rFont val="Futura Lt BT"/>
        <family val="2"/>
      </rPr>
      <t>2</t>
    </r>
    <r>
      <rPr>
        <b/>
        <sz val="10"/>
        <color theme="0"/>
        <rFont val="Futura Lt BT"/>
        <family val="2"/>
      </rPr>
      <t xml:space="preserve"> Emissions Savings</t>
    </r>
  </si>
  <si>
    <t>Discounted Cost Savings 
(Non CO2 @ 7% Discount + CO2 @ 3% Discount)</t>
  </si>
  <si>
    <r>
      <t>NO</t>
    </r>
    <r>
      <rPr>
        <b/>
        <vertAlign val="subscript"/>
        <sz val="10"/>
        <color theme="0"/>
        <rFont val="Futura Lt BT"/>
        <family val="2"/>
      </rPr>
      <t>x</t>
    </r>
  </si>
  <si>
    <r>
      <t>PM</t>
    </r>
    <r>
      <rPr>
        <b/>
        <vertAlign val="subscript"/>
        <sz val="10"/>
        <color theme="0"/>
        <rFont val="Futura Lt BT"/>
        <family val="2"/>
      </rPr>
      <t>2.5</t>
    </r>
  </si>
  <si>
    <r>
      <t>CO</t>
    </r>
    <r>
      <rPr>
        <b/>
        <vertAlign val="subscript"/>
        <sz val="10"/>
        <color theme="0"/>
        <rFont val="Futura Lt BT"/>
        <family val="2"/>
      </rPr>
      <t>2</t>
    </r>
  </si>
  <si>
    <t>N/A</t>
  </si>
  <si>
    <t>Total Savings (Non CO2 @ 7% Discount + CO2 @ 3% Discount)</t>
  </si>
  <si>
    <t>1. See 'Traffic Inputs' for Traffic Control Delay Summary</t>
  </si>
  <si>
    <t>2. See 'I-44 Incident Reports' for Average I-44 Delay Summary. Analysis assumes delays are idling vehicles</t>
  </si>
  <si>
    <t>3. Assumes 60% Reduction in Incident Delay due to additional lane in Build Condition, Resulting in reduced congestion</t>
  </si>
  <si>
    <t>Value of Reduced Operations &amp; Maintenance</t>
  </si>
  <si>
    <t>Mowing &amp; Landscaping</t>
  </si>
  <si>
    <t>Guardcable</t>
  </si>
  <si>
    <t>Lighting</t>
  </si>
  <si>
    <t>Sweeping/
Debris Removal</t>
  </si>
  <si>
    <t>Striping</t>
  </si>
  <si>
    <t>Signing</t>
  </si>
  <si>
    <t>Snow Removal</t>
  </si>
  <si>
    <t>Pothole Repairs</t>
  </si>
  <si>
    <t>Full Depth Pavement Repairs</t>
  </si>
  <si>
    <t>Signals</t>
  </si>
  <si>
    <t>Bridge Structure Flushing</t>
  </si>
  <si>
    <t>Residual Service Life</t>
  </si>
  <si>
    <t xml:space="preserve">Notes: </t>
  </si>
  <si>
    <t>1. Assume 3 Mowing passes per year</t>
  </si>
  <si>
    <t>2. Assume Annual Increase in Lighting due to Added Lights</t>
  </si>
  <si>
    <t>3. Assume MoDOT will not incur maintenance during Construction - all temporary conditions &amp; maintenance will be on the contractor</t>
  </si>
  <si>
    <t>5. Assume No Pothole Repairs until Year 15, then half of existing repairs</t>
  </si>
  <si>
    <t>7. Assume Bridge Flushing twice Annually starting in 2028</t>
  </si>
  <si>
    <t>O&amp;M Project Factors &amp; Inputs</t>
  </si>
  <si>
    <t>Annual Existing Mowing Area (Shldr-mi)</t>
  </si>
  <si>
    <t>Annual Proposed Mowing Area (Shldr-mi)</t>
  </si>
  <si>
    <t>Exist.  Lane Miles</t>
  </si>
  <si>
    <t>Proposed Lane Miles</t>
  </si>
  <si>
    <t>Exist.  Striping Line Miles</t>
  </si>
  <si>
    <t>Proposed Striping Line Miles</t>
  </si>
  <si>
    <t>Exist.  Bridge Deck (SF)</t>
  </si>
  <si>
    <t>Proposed Bridge Deck (SF)</t>
  </si>
  <si>
    <t>Number Exist. At-Grade Signalized Intersections (EA)</t>
  </si>
  <si>
    <t>Number Prop. At-Grade Unsigalized Intersections (EA)</t>
  </si>
  <si>
    <t>*Source: MoDOT SW District Maintenance</t>
  </si>
  <si>
    <t>Value of State of Good Repair</t>
  </si>
  <si>
    <t>Bridge Deck Preservation</t>
  </si>
  <si>
    <t>Pavement Maintenance &amp; Rehabilitation</t>
  </si>
  <si>
    <t>1. Assume Concrete Pavement is installed. No Pavement Rehabilitation until Diamond Grind in Year 10 &amp; Year 20 After Construction. Asphalt Resurface in Year 30.</t>
  </si>
  <si>
    <t>2. MoDOT Asset Management Plan identifies I-44 &amp; MO-13 on a 8-yr pavemement rehabilitation cycle.</t>
  </si>
  <si>
    <t xml:space="preserve">3. Bridge Preservation to occur ever 5 years. </t>
  </si>
  <si>
    <t>State of Good Repair Project Factors &amp; Inputs</t>
  </si>
  <si>
    <t>Bridge Deck Preservation Frequency (Years)</t>
  </si>
  <si>
    <t>Initial Bridge Deck Preservation After Build</t>
  </si>
  <si>
    <t>Exist. Bridge Deck (SF) - I-44 over Local Roads</t>
  </si>
  <si>
    <t>Exist. Bridge Deck (SF) - MO-13 over I-44</t>
  </si>
  <si>
    <t>Proposed Bridge Deck (SF) - MO-13 over I-44</t>
  </si>
  <si>
    <t>Proposed Bridge Deck (SF) - MO-13 SB-EB Flyover</t>
  </si>
  <si>
    <t>Proposed Bridge Deck (SF) - I-44 over Local Roads</t>
  </si>
  <si>
    <t>Exist. Pavement Rehabilitation Frequency (Years)</t>
  </si>
  <si>
    <t>Prop. Pavement Rehabilitation Frequency (Years)</t>
  </si>
  <si>
    <t>Initial Pavement Resurface After Build (25 Years)</t>
  </si>
  <si>
    <t>*Source: MoDOT SW District Maintenance &amp; Asset Management Plan</t>
  </si>
  <si>
    <t>Value of Reduced Incident Delays &amp; Freight Reliability</t>
  </si>
  <si>
    <t>I-44 Average Annual Truck Freight 
(Tons Per Hour)</t>
  </si>
  <si>
    <t>I-44 Average Annual Truck Freight Value
 ($ Per Hour)</t>
  </si>
  <si>
    <r>
      <t>Reduction in Annual Corridor Incident Delays
(Hours)</t>
    </r>
    <r>
      <rPr>
        <b/>
        <vertAlign val="superscript"/>
        <sz val="10"/>
        <color theme="0"/>
        <rFont val="Futura Lt BT"/>
        <family val="2"/>
      </rPr>
      <t>3</t>
    </r>
  </si>
  <si>
    <t>Discounted Cost Savings
 (7% Discount)</t>
  </si>
  <si>
    <t>MO Freight Projections (By Corridor)</t>
  </si>
  <si>
    <t>Route</t>
  </si>
  <si>
    <t>2018 Tons</t>
  </si>
  <si>
    <t>2045 Tons (Projected)</t>
  </si>
  <si>
    <t>2018 Value</t>
  </si>
  <si>
    <t>2045 Value (Projected)</t>
  </si>
  <si>
    <t>I-44</t>
  </si>
  <si>
    <t>1.3 B</t>
  </si>
  <si>
    <t>3.8 B</t>
  </si>
  <si>
    <t>$3.7 B</t>
  </si>
  <si>
    <t>$14 B</t>
  </si>
  <si>
    <t>US 60</t>
  </si>
  <si>
    <t>630 M</t>
  </si>
  <si>
    <t>163 M</t>
  </si>
  <si>
    <t>$1.7 B</t>
  </si>
  <si>
    <t>$386 M</t>
  </si>
  <si>
    <t>I-29</t>
  </si>
  <si>
    <t>149 M</t>
  </si>
  <si>
    <t>205 M</t>
  </si>
  <si>
    <t>$131 M</t>
  </si>
  <si>
    <t>Est. $250 M</t>
  </si>
  <si>
    <t>US 54</t>
  </si>
  <si>
    <t>125 M</t>
  </si>
  <si>
    <t>269 M</t>
  </si>
  <si>
    <t>$306 M</t>
  </si>
  <si>
    <t>$823 M</t>
  </si>
  <si>
    <t>US 71</t>
  </si>
  <si>
    <t>119 M</t>
  </si>
  <si>
    <t>174 M</t>
  </si>
  <si>
    <t>$162 M</t>
  </si>
  <si>
    <t>$345 M</t>
  </si>
  <si>
    <t>I-55</t>
  </si>
  <si>
    <t>86 M</t>
  </si>
  <si>
    <t>128 M</t>
  </si>
  <si>
    <t>$129 M</t>
  </si>
  <si>
    <t>I-270</t>
  </si>
  <si>
    <t>76 M</t>
  </si>
  <si>
    <t>577 M</t>
  </si>
  <si>
    <t>$211 M</t>
  </si>
  <si>
    <t>$2.1 B</t>
  </si>
  <si>
    <t>I-35</t>
  </si>
  <si>
    <t>59 M</t>
  </si>
  <si>
    <t>138 M</t>
  </si>
  <si>
    <t>$125 M</t>
  </si>
  <si>
    <t>$374 M</t>
  </si>
  <si>
    <t>I-170</t>
  </si>
  <si>
    <t>&lt;10 M</t>
  </si>
  <si>
    <t>572 M</t>
  </si>
  <si>
    <t>&lt;$20 M</t>
  </si>
  <si>
    <t>I-70</t>
  </si>
  <si>
    <t>117 M</t>
  </si>
  <si>
    <t>172 M</t>
  </si>
  <si>
    <t>$192 M</t>
  </si>
  <si>
    <t>$262 M</t>
  </si>
  <si>
    <t>*Source: MO 2022 Draft Freight Plan (MoDOT)</t>
  </si>
  <si>
    <t>I-44 Freight Summary</t>
  </si>
  <si>
    <t>Hours/Yr</t>
  </si>
  <si>
    <t>2018 Average Annual (Tons per hour)</t>
  </si>
  <si>
    <t>2018 Average Annual Value ($ per hour)</t>
  </si>
  <si>
    <t>Total Projected Increase (Tons)</t>
  </si>
  <si>
    <t>Total Projected Increase ($)</t>
  </si>
  <si>
    <t>Years Projected</t>
  </si>
  <si>
    <t>Average Annual Projected Increase (Tons)</t>
  </si>
  <si>
    <t>Average Annual Projected Increase ($)</t>
  </si>
  <si>
    <t>Average Annual Projected Increase (Tons per hour)</t>
  </si>
  <si>
    <t>Average Annual Projected Increase ($ per hour)</t>
  </si>
  <si>
    <t>1. Freight Volume &amp; Values derieved from the Missouri 2022 Draft Freight Plan provided by MoDOT. Values provided within are for I-44 Regional Corridor</t>
  </si>
  <si>
    <t xml:space="preserve">2. See 'I-44 Incident Reports' for Average I-44 Delay Summary. </t>
  </si>
  <si>
    <t>Value of Reduced Noise</t>
  </si>
  <si>
    <t>Total Average Annual Passenger Car VMT</t>
  </si>
  <si>
    <t>Total Average Annual Truck VMT</t>
  </si>
  <si>
    <t>I-44 VMT Summary
(MO-13 to Rte H)</t>
  </si>
  <si>
    <t>Noise Wall Corridor (mi)</t>
  </si>
  <si>
    <t>2025 Annual VMT (I-44 MO-13 to Rte H)</t>
  </si>
  <si>
    <t>2052 Annual VMT (I-44 MO-13 to Rte H)</t>
  </si>
  <si>
    <t>Average Annual VMT Increase</t>
  </si>
  <si>
    <t>*Source: MoDOT I-44 Noise Study Report</t>
  </si>
  <si>
    <t xml:space="preserve">                </t>
  </si>
  <si>
    <t>1. Noise Wall Location based on proposed MoDOT I-44 Noise Study Recommendations between MO 13 and Route H.</t>
  </si>
  <si>
    <t>Value Pedestrian &amp; Cycling Facility Improvements</t>
  </si>
  <si>
    <t>Pedestrian Facility Improvements at National Ave</t>
  </si>
  <si>
    <t>Pedestrian Facility Improvements at Grant Ave</t>
  </si>
  <si>
    <t>Pedestrian Facility Improvements at Broadway Ave</t>
  </si>
  <si>
    <t>Pedestrian Facility Improvements at Norton Road 
(Rte 13 Interchange Improvements)</t>
  </si>
  <si>
    <t>Cycling Facility Improvements at Peak Creek Rdige Trail &amp; I-44 Underpass</t>
  </si>
  <si>
    <t>DO NOT DELETE</t>
  </si>
  <si>
    <t>National Ave Under I-44</t>
  </si>
  <si>
    <t>Additional Sidewalk Width (ft)</t>
  </si>
  <si>
    <t>Length of Improvements (ft)</t>
  </si>
  <si>
    <t>Grant Ave Under I-44</t>
  </si>
  <si>
    <t>Broadway Ave Under I-44</t>
  </si>
  <si>
    <t>Pea Creek Ridge Trail &amp; I-44 Underpass</t>
  </si>
  <si>
    <t>Width of New Cycling Path (No At-Grade Xings)</t>
  </si>
  <si>
    <t>Norton Road Realignment &amp; Underpass</t>
  </si>
  <si>
    <t>1. Assume all sidewalk constructed near end of contruction phase (Year 3)</t>
  </si>
  <si>
    <t>Benefit-Cost Analysis Project Inputs &amp; Assumptions</t>
  </si>
  <si>
    <t>Damage Costs for Emissions (per Metric Ton)</t>
  </si>
  <si>
    <t>Program Costs &amp; Schedule</t>
  </si>
  <si>
    <t>Scope of Analysis</t>
  </si>
  <si>
    <r>
      <t>No</t>
    </r>
    <r>
      <rPr>
        <b/>
        <u/>
        <vertAlign val="subscript"/>
        <sz val="11"/>
        <color theme="0"/>
        <rFont val="Calibri"/>
        <family val="2"/>
        <scheme val="minor"/>
      </rPr>
      <t>x</t>
    </r>
  </si>
  <si>
    <r>
      <t>So</t>
    </r>
    <r>
      <rPr>
        <b/>
        <u/>
        <vertAlign val="subscript"/>
        <sz val="11"/>
        <color theme="0"/>
        <rFont val="Calibri"/>
        <family val="2"/>
        <scheme val="minor"/>
      </rPr>
      <t>x</t>
    </r>
  </si>
  <si>
    <r>
      <t>PM</t>
    </r>
    <r>
      <rPr>
        <b/>
        <u/>
        <vertAlign val="subscript"/>
        <sz val="11"/>
        <color theme="0"/>
        <rFont val="Calibri"/>
        <family val="2"/>
        <scheme val="minor"/>
      </rPr>
      <t>2.5</t>
    </r>
  </si>
  <si>
    <r>
      <t>CO</t>
    </r>
    <r>
      <rPr>
        <b/>
        <u/>
        <vertAlign val="subscript"/>
        <sz val="11"/>
        <color theme="0"/>
        <rFont val="Calibri"/>
        <family val="2"/>
        <scheme val="minor"/>
      </rPr>
      <t>2</t>
    </r>
  </si>
  <si>
    <t>Cost</t>
  </si>
  <si>
    <t>Analysis Period (Years)</t>
  </si>
  <si>
    <t>Design Engineering</t>
  </si>
  <si>
    <t>Maintenance &amp; Preservation Assumptions</t>
  </si>
  <si>
    <t>MoDOT SW District &amp; MoDOT Asset Management Plan</t>
  </si>
  <si>
    <t>Right-of-Way</t>
  </si>
  <si>
    <t>2020 dollars</t>
  </si>
  <si>
    <t>Utilities</t>
  </si>
  <si>
    <t>Average Annual Mowing Maintenance (per Shldr-mile)</t>
  </si>
  <si>
    <t>Construction Administration</t>
  </si>
  <si>
    <t>Average Annual Increase in Lighting Maintenance</t>
  </si>
  <si>
    <t>Capital Construction</t>
  </si>
  <si>
    <t>Average Annual Guardcable Maintenance (per I-44 mile)</t>
  </si>
  <si>
    <t>Total Annual Program Cost</t>
  </si>
  <si>
    <t>Average Annual Guardrail Maintenance (per I-44 mile)</t>
  </si>
  <si>
    <t>Average Existing Roadway Maintenance (per lane mile)</t>
  </si>
  <si>
    <t>Average Concrete Pavement Diamond Grind (per lane mile)</t>
  </si>
  <si>
    <t>Average Snow Removal Maintenance (per lane-mile)</t>
  </si>
  <si>
    <t>Average Snow Removal Maintenance (per roundabout)</t>
  </si>
  <si>
    <t>Average At-Grade Signalized Intersection Maintenance</t>
  </si>
  <si>
    <t>Average Bridge Deck Preservation (per SF)</t>
  </si>
  <si>
    <t>Average Annual Bridge Deck Flushing (per SF)</t>
  </si>
  <si>
    <t>Average Annual Sweeping/Debris Removal (per lane-mile)</t>
  </si>
  <si>
    <t>Average Annual Signing Maintenance (per CL-mile)</t>
  </si>
  <si>
    <t>Average Annual Existing Pothole Repair</t>
  </si>
  <si>
    <t>Average Annual Existing Full Depth Pavement Repairs</t>
  </si>
  <si>
    <t>Average Annual Lane Striping (per line-mile)</t>
  </si>
  <si>
    <t>Existing Project Pavement Area (per lane mile)</t>
  </si>
  <si>
    <t>Proposed Project Pavement Area (per lane mile)</t>
  </si>
  <si>
    <t>I-44 Project Length (miles)</t>
  </si>
  <si>
    <t>Project Costs &amp; Service Life</t>
  </si>
  <si>
    <t>MoDOT STIP &amp; Project Estimates</t>
  </si>
  <si>
    <t>Capital Project Improvements</t>
  </si>
  <si>
    <t>Useful Service Life (Years)</t>
  </si>
  <si>
    <t>Project Schedule</t>
  </si>
  <si>
    <t>Construction Begins</t>
  </si>
  <si>
    <t>Length of Construction (Years)</t>
  </si>
  <si>
    <t>Vehicle Occupancy &amp; Traffic Projections</t>
  </si>
  <si>
    <t>Percent Trucks</t>
  </si>
  <si>
    <t>Assumption based on existing ADT</t>
  </si>
  <si>
    <t>Percent Passenger Vehicles</t>
  </si>
  <si>
    <t>Average Annual Regional Vehicular Count Increase</t>
  </si>
  <si>
    <t>Assumption based on projected Traffic Models</t>
  </si>
  <si>
    <t>Average Annual Freight Truck Increase</t>
  </si>
  <si>
    <t>2022 Missouri State Freight Plan</t>
  </si>
  <si>
    <t xml:space="preserve">Source: Benefit-Cost Analysis Guidance for Discretionary Grant Programs, March 2022 (Revised)
</t>
  </si>
  <si>
    <t>Average Passengers per Private Vehicle (All Travel)</t>
  </si>
  <si>
    <t>Benefit-Cost Analysis Guidance for Discretionary Grant Programs, March 2022</t>
  </si>
  <si>
    <t>Average Passengers per Truck</t>
  </si>
  <si>
    <t>*Benefit-Cost Analysis for Discretionary Grant Programs, January 2020</t>
  </si>
  <si>
    <t>Value of Travel Time Savings, per hour</t>
  </si>
  <si>
    <t>Private Vehicle Travel</t>
  </si>
  <si>
    <t>Personal</t>
  </si>
  <si>
    <t>Business</t>
  </si>
  <si>
    <t>All Purposes</t>
  </si>
  <si>
    <t>Commercial Vehicle Operators</t>
  </si>
  <si>
    <t>Truck Drivers</t>
  </si>
  <si>
    <t>Bus Drivers</t>
  </si>
  <si>
    <t>Other</t>
  </si>
  <si>
    <t>Pedestrian/ Cyclist (Walking, Cycling, Waiting, Standing &amp; Transfer)</t>
  </si>
  <si>
    <t>Value of Injuries</t>
  </si>
  <si>
    <t>O - No Injury</t>
  </si>
  <si>
    <t>C - Possible Injury</t>
  </si>
  <si>
    <t>B - Non-incapacitating</t>
  </si>
  <si>
    <t>A - Incapacitating</t>
  </si>
  <si>
    <t>K - Killed</t>
  </si>
  <si>
    <t>U - Injured (Severity Unknown)</t>
  </si>
  <si>
    <t xml:space="preserve">Property Damage Only (PDO) </t>
  </si>
  <si>
    <t>Average Idle Emission Rates (g/hr)</t>
  </si>
  <si>
    <t>Light Duty Gasoline Fueled Vehicles</t>
  </si>
  <si>
    <t>Volatile Organic Compounds (VOC)</t>
  </si>
  <si>
    <t>Idling Vehicle Emissions for Passenger Cars, Light-Duty Trucks, and Heavy-Duty Trucks, EPA, October 2008</t>
  </si>
  <si>
    <t>Nitrogen Oxide (NOx)</t>
  </si>
  <si>
    <r>
      <t>Particulate Matter (PM</t>
    </r>
    <r>
      <rPr>
        <vertAlign val="subscript"/>
        <sz val="9"/>
        <color rgb="FF000000"/>
        <rFont val="Franklin Gothic Book"/>
        <family val="2"/>
      </rPr>
      <t>2.5</t>
    </r>
    <r>
      <rPr>
        <sz val="9"/>
        <color rgb="FF000000"/>
        <rFont val="Franklin Gothic Book"/>
        <family val="2"/>
      </rPr>
      <t>)</t>
    </r>
  </si>
  <si>
    <r>
      <t>Sulfur Dioxide (SO</t>
    </r>
    <r>
      <rPr>
        <vertAlign val="subscript"/>
        <sz val="9"/>
        <color rgb="FF000000"/>
        <rFont val="Franklin Gothic Book"/>
        <family val="2"/>
      </rPr>
      <t>2</t>
    </r>
    <r>
      <rPr>
        <sz val="9"/>
        <color rgb="FF000000"/>
        <rFont val="Franklin Gothic Book"/>
        <family val="2"/>
      </rPr>
      <t>)</t>
    </r>
  </si>
  <si>
    <t>Heavy Duty Diesel Vehicle</t>
  </si>
  <si>
    <r>
      <t>Average Tailpipe CO</t>
    </r>
    <r>
      <rPr>
        <b/>
        <vertAlign val="subscript"/>
        <sz val="9"/>
        <color rgb="FF000000"/>
        <rFont val="Franklin Gothic Book"/>
        <family val="2"/>
      </rPr>
      <t>2</t>
    </r>
    <r>
      <rPr>
        <b/>
        <sz val="9"/>
        <color rgb="FF000000"/>
        <rFont val="Franklin Gothic Book"/>
        <family val="2"/>
      </rPr>
      <t xml:space="preserve"> Emission (g/gal)</t>
    </r>
  </si>
  <si>
    <t>Environmental Protection Agency - "Greenhouse Gas Emissions from a Typical Passenger Vehicle". March 2018</t>
  </si>
  <si>
    <r>
      <t>Carbon Dioxide (CO</t>
    </r>
    <r>
      <rPr>
        <vertAlign val="subscript"/>
        <sz val="9"/>
        <color rgb="FF000000"/>
        <rFont val="Franklin Gothic Book"/>
        <family val="2"/>
      </rPr>
      <t>2</t>
    </r>
    <r>
      <rPr>
        <sz val="9"/>
        <color rgb="FF000000"/>
        <rFont val="Franklin Gothic Book"/>
        <family val="2"/>
      </rPr>
      <t>)</t>
    </r>
  </si>
  <si>
    <t>Average Fuel Consumption per Vehicle Idle hour (gal/hr)</t>
  </si>
  <si>
    <t>Argonne National Laboratory - Idling Reduction Savings Calculator</t>
  </si>
  <si>
    <t>Unit Conversions</t>
  </si>
  <si>
    <t>Grams per US Ton (Short Ton)</t>
  </si>
  <si>
    <t>US Ton (Short Ton) to Metric Ton</t>
  </si>
  <si>
    <t>Traffic Safety Crash Modification Factors (CMF)</t>
  </si>
  <si>
    <t>Convsersion of Stop Controlled to Single Lane Roundabout</t>
  </si>
  <si>
    <t>CMF Clearinghouse: CMF ID 206</t>
  </si>
  <si>
    <t>Install Right In, Right Out at Stop Controlled Intersection</t>
  </si>
  <si>
    <t>CMF Clearinghouse: CMF ID 9821</t>
  </si>
  <si>
    <t>Widen 4 to 6 Lanes</t>
  </si>
  <si>
    <t>Computed within HSM ISATe Analysis Spreadsheet</t>
  </si>
  <si>
    <t>Pedestrian &amp; Cycling Traffic Data (2022 Estimates)</t>
  </si>
  <si>
    <t>CMT Projections</t>
  </si>
  <si>
    <t>Pedestrian ADT @ Broadway Ave</t>
  </si>
  <si>
    <t>Pedestrian ADT @ Grant Ave</t>
  </si>
  <si>
    <t>Pedestrian ADT @ National Ave</t>
  </si>
  <si>
    <t>Pedestrian ADT @ Norton</t>
  </si>
  <si>
    <t>Cyclist &amp; PED ADT @ Future Underpass</t>
  </si>
  <si>
    <t>Average Annual Pedestrian ADT Increase</t>
  </si>
  <si>
    <t>Pedestrian Factility Improvements (per use)</t>
  </si>
  <si>
    <t>Expand Sidewalk (per ft of added width)</t>
  </si>
  <si>
    <t>Install Marked Cross walk (Vehicular ADT ≥10,000)</t>
  </si>
  <si>
    <t>Install PED Signal Crossing (Vehicular ADT ≥13,000)</t>
  </si>
  <si>
    <t>Cycling Facility Improvements (per mile)</t>
  </si>
  <si>
    <t>Cycling Path with At-Grade Crossings</t>
  </si>
  <si>
    <t>Cycling Path with No At-Grade Crossings</t>
  </si>
  <si>
    <t>Dedicated Cycling Lane</t>
  </si>
  <si>
    <t>Cycling Sharrow</t>
  </si>
  <si>
    <t>Separated Cycle Track</t>
  </si>
  <si>
    <t>External Highway Costs: Noise &amp; Congestion (per VMT)</t>
  </si>
  <si>
    <t>Light Duty Vehicles (Urban)</t>
  </si>
  <si>
    <t>Light Duty Vehicles - Noise</t>
  </si>
  <si>
    <t>Light Duty Vehicles - Congestion</t>
  </si>
  <si>
    <t>Buses &amp; Trucks (Urban)</t>
  </si>
  <si>
    <t>Buses &amp; Trucks - Noise</t>
  </si>
  <si>
    <t>Buses &amp; Trucks - Congestion</t>
  </si>
  <si>
    <t>I-44 Year 2025</t>
  </si>
  <si>
    <t>I-44 Year 2050</t>
  </si>
  <si>
    <t>Eastbound</t>
  </si>
  <si>
    <t>Westbound</t>
  </si>
  <si>
    <t>Avg Volume</t>
  </si>
  <si>
    <t>No Build</t>
  </si>
  <si>
    <t>Build</t>
  </si>
  <si>
    <t>Speed</t>
  </si>
  <si>
    <t>Travel time</t>
  </si>
  <si>
    <t>veh-hrs</t>
  </si>
  <si>
    <t>Length</t>
  </si>
  <si>
    <t xml:space="preserve">Total </t>
  </si>
  <si>
    <t>veh-hr of delay - no-build</t>
  </si>
  <si>
    <t>veh-hr of delay - BUILD</t>
  </si>
  <si>
    <t>veh-hr savings</t>
  </si>
  <si>
    <t>Route 13</t>
  </si>
  <si>
    <t>TOTAL</t>
  </si>
  <si>
    <t>MO-13</t>
  </si>
  <si>
    <t>No-Build</t>
  </si>
  <si>
    <t>Total Delay (hr)</t>
  </si>
  <si>
    <t>Control Delay (s/v)</t>
  </si>
  <si>
    <t>Vehciles</t>
  </si>
  <si>
    <t>Control Delay (hr)</t>
  </si>
  <si>
    <t>LOS</t>
  </si>
  <si>
    <t>Average Speed (mph)</t>
  </si>
  <si>
    <t>Distance Traveled (mi)</t>
  </si>
  <si>
    <t>Fuel Consumed (gal)</t>
  </si>
  <si>
    <t>CO Emission (kg)</t>
  </si>
  <si>
    <t>Nox Emissions (kg)</t>
  </si>
  <si>
    <t>VOC Emissions (kg)</t>
  </si>
  <si>
    <t>Delay Savings</t>
  </si>
  <si>
    <t>AM</t>
  </si>
  <si>
    <t>PM</t>
  </si>
  <si>
    <t>C</t>
  </si>
  <si>
    <t>D</t>
  </si>
  <si>
    <t>HALF</t>
  </si>
  <si>
    <t>F</t>
  </si>
  <si>
    <t>Daily Delay Calculation:</t>
  </si>
  <si>
    <t>Control Delay</t>
  </si>
  <si>
    <t>per year</t>
  </si>
  <si>
    <t xml:space="preserve">Peak Hour and 2 adjacent hours </t>
  </si>
  <si>
    <t>AM &amp; adj.</t>
  </si>
  <si>
    <t>AM &amp; PM directly calculated</t>
  </si>
  <si>
    <t>PM &amp; adj.</t>
  </si>
  <si>
    <t>Volumes average 85% of peak volumes for the 2 shoulder hours of AM &amp; PM Peak</t>
  </si>
  <si>
    <t>To be Conservative, assume 75% of delay savings for each of the 2 adjacent hours</t>
  </si>
  <si>
    <t>Off-Peak between AM &amp; PM (6 hours)</t>
  </si>
  <si>
    <t>Volumes average 70% of PM Peak</t>
  </si>
  <si>
    <t>Use 75% volume calculations for delay</t>
  </si>
  <si>
    <t>To be Conservative, assume 83% of delay savings for each of the 6 hours</t>
  </si>
  <si>
    <t xml:space="preserve">Remaining 12 Hours </t>
  </si>
  <si>
    <t>For remaing 12 hours use 50% volume delay savings</t>
  </si>
  <si>
    <t>Only account of 5 of the 12 hours, remaining hours are assumed to have little difference</t>
  </si>
  <si>
    <t>TOTAL 24-hour savings</t>
  </si>
  <si>
    <t>Summary of Traffic Study Results</t>
  </si>
  <si>
    <t>Total veh-hr savings (daily)</t>
  </si>
  <si>
    <t>Total veh-hr savings (annual)</t>
  </si>
  <si>
    <t>Control veh-hr savings (daily)</t>
  </si>
  <si>
    <t>Control veh-hr savings (annual)</t>
  </si>
  <si>
    <t>2050 Total</t>
  </si>
  <si>
    <t>Avg. Total Annual Savings Increase (veh-hr of delay)</t>
  </si>
  <si>
    <t>Avg. Annual Control Delay Savings Increase (veh-hr of delay)</t>
  </si>
  <si>
    <t>Source: MoDOT Traffic Counts &amp; Synchro HCM Methodology</t>
  </si>
  <si>
    <t>Traffic ADT Summary</t>
  </si>
  <si>
    <t>I-44 (13-H)</t>
  </si>
  <si>
    <t>I-44 (H-65)</t>
  </si>
  <si>
    <t>N of 44</t>
  </si>
  <si>
    <t>S of 44</t>
  </si>
  <si>
    <t>EB</t>
  </si>
  <si>
    <t>WB</t>
  </si>
  <si>
    <t>No-Build Condition</t>
  </si>
  <si>
    <t>Total</t>
  </si>
  <si>
    <t>I-44 - Part 1</t>
  </si>
  <si>
    <t>Crashes by Type</t>
  </si>
  <si>
    <t>Property Damage Only (PDO)</t>
  </si>
  <si>
    <t>Total Crashes</t>
  </si>
  <si>
    <t>I-44 - Part 2</t>
  </si>
  <si>
    <t xml:space="preserve"> MO 13 &amp; Local Roads Urban</t>
  </si>
  <si>
    <t>Build Condition</t>
  </si>
  <si>
    <t>Annual change</t>
  </si>
  <si>
    <t>MoDOT Crash Reports - Queueing Crashes</t>
  </si>
  <si>
    <t>Country</t>
  </si>
  <si>
    <t>Travelway</t>
  </si>
  <si>
    <t>Log</t>
  </si>
  <si>
    <t>Crash Class</t>
  </si>
  <si>
    <t>Date</t>
  </si>
  <si>
    <t>Severity Rate</t>
  </si>
  <si>
    <t>Image Num</t>
  </si>
  <si>
    <t>Intersection Num</t>
  </si>
  <si>
    <t>Light Cond</t>
  </si>
  <si>
    <t>Road Surf Cond</t>
  </si>
  <si>
    <t>Weather Cond</t>
  </si>
  <si>
    <t>Travelway  Ind</t>
  </si>
  <si>
    <t>Day of Week</t>
  </si>
  <si>
    <t>Time</t>
  </si>
  <si>
    <t>Prop Dmg Ind</t>
  </si>
  <si>
    <t>Transaction Id</t>
  </si>
  <si>
    <t>Object Id</t>
  </si>
  <si>
    <t>Landed Latitude</t>
  </si>
  <si>
    <t>Landed Longitude</t>
  </si>
  <si>
    <t>TW Ownership</t>
  </si>
  <si>
    <t>No of Vechicles</t>
  </si>
  <si>
    <t>Fixed Objects</t>
  </si>
  <si>
    <t>Interchange</t>
  </si>
  <si>
    <t>Designation</t>
  </si>
  <si>
    <t>Near Street Location</t>
  </si>
  <si>
    <t>Report</t>
  </si>
  <si>
    <t>GREENE</t>
  </si>
  <si>
    <t>IS 44 E</t>
  </si>
  <si>
    <t>REAR END</t>
  </si>
  <si>
    <t>MINOR INJURY</t>
  </si>
  <si>
    <t xml:space="preserve">2180017459	</t>
  </si>
  <si>
    <t>DARK W/ STREET LIGHTS ON</t>
  </si>
  <si>
    <t>DRY</t>
  </si>
  <si>
    <t>CLEAR</t>
  </si>
  <si>
    <t>THU</t>
  </si>
  <si>
    <t xml:space="preserve"> </t>
  </si>
  <si>
    <t>STATE</t>
  </si>
  <si>
    <t>NOT IN INTERCHANGE</t>
  </si>
  <si>
    <t>IS</t>
  </si>
  <si>
    <t>US 65</t>
  </si>
  <si>
    <t xml:space="preserve">https://datazoneapps.modot.mo.gov/bi/apps/crashes/AccidentImage.ashx?id=2180017459	</t>
  </si>
  <si>
    <t>MO 13 S</t>
  </si>
  <si>
    <t>PROPERTY DAMAGE ONLY</t>
  </si>
  <si>
    <t xml:space="preserve">2180017478	</t>
  </si>
  <si>
    <t>DAYLIGHT</t>
  </si>
  <si>
    <t>WED</t>
  </si>
  <si>
    <t>MO</t>
  </si>
  <si>
    <t>IS 44</t>
  </si>
  <si>
    <t xml:space="preserve">https://datazoneapps.modot.mo.gov/bi/apps/crashes/AccidentImage.ashx?id=2180017478	</t>
  </si>
  <si>
    <t xml:space="preserve">2180032944	</t>
  </si>
  <si>
    <t>RP 2168</t>
  </si>
  <si>
    <t xml:space="preserve">https://datazoneapps.modot.mo.gov/bi/apps/crashes/AccidentImage.ashx?id=2180032944	</t>
  </si>
  <si>
    <t>IS 44 W</t>
  </si>
  <si>
    <t xml:space="preserve">3180015002	</t>
  </si>
  <si>
    <t>TUE</t>
  </si>
  <si>
    <t>ERM WEST IS 44 MILE 76.2</t>
  </si>
  <si>
    <t xml:space="preserve">https://datazoneapps.modot.mo.gov/bi/apps/crashes/AccidentImage.ashx?id=3180015002	</t>
  </si>
  <si>
    <t xml:space="preserve">2180047632	</t>
  </si>
  <si>
    <t>SUN</t>
  </si>
  <si>
    <t>MODOT</t>
  </si>
  <si>
    <t>GUARDRAIL FACE</t>
  </si>
  <si>
    <t>CST KANSAS EXPY</t>
  </si>
  <si>
    <t xml:space="preserve">https://datazoneapps.modot.mo.gov/bi/apps/crashes/AccidentImage.ashx?id=2180047632	</t>
  </si>
  <si>
    <t xml:space="preserve">2180047049	</t>
  </si>
  <si>
    <t>CLOUDY</t>
  </si>
  <si>
    <t xml:space="preserve">https://datazoneapps.modot.mo.gov/bi/apps/crashes/AccidentImage.ashx?id=2180047049	</t>
  </si>
  <si>
    <t xml:space="preserve">2180051254	</t>
  </si>
  <si>
    <t>RP 988739</t>
  </si>
  <si>
    <t xml:space="preserve">https://datazoneapps.modot.mo.gov/bi/apps/crashes/AccidentImage.ashx?id=2180051254	</t>
  </si>
  <si>
    <t xml:space="preserve">2180051255	</t>
  </si>
  <si>
    <t>MO 13</t>
  </si>
  <si>
    <t xml:space="preserve">https://datazoneapps.modot.mo.gov/bi/apps/crashes/AccidentImage.ashx?id=2180051255	</t>
  </si>
  <si>
    <t xml:space="preserve">2180052804	</t>
  </si>
  <si>
    <t>MON</t>
  </si>
  <si>
    <t>CST GLENSTONE AVE</t>
  </si>
  <si>
    <t xml:space="preserve">https://datazoneapps.modot.mo.gov/bi/apps/crashes/AccidentImage.ashx?id=2180052804	</t>
  </si>
  <si>
    <t>PASSING</t>
  </si>
  <si>
    <t xml:space="preserve">2180054475	</t>
  </si>
  <si>
    <t>RT H</t>
  </si>
  <si>
    <t xml:space="preserve">https://datazoneapps.modot.mo.gov/bi/apps/crashes/AccidentImage.ashx?id=2180054475	</t>
  </si>
  <si>
    <t xml:space="preserve">2180073533	</t>
  </si>
  <si>
    <t>FRI</t>
  </si>
  <si>
    <t xml:space="preserve">https://datazoneapps.modot.mo.gov/bi/apps/crashes/AccidentImage.ashx?id=2180073533	</t>
  </si>
  <si>
    <t xml:space="preserve">2180073615	</t>
  </si>
  <si>
    <t>CST GLENSTONE</t>
  </si>
  <si>
    <t xml:space="preserve">https://datazoneapps.modot.mo.gov/bi/apps/crashes/AccidentImage.ashx?id=2180073615	</t>
  </si>
  <si>
    <t xml:space="preserve">3180029637	</t>
  </si>
  <si>
    <t>WET</t>
  </si>
  <si>
    <t>ERM EAST IS 44 MILE 74.2</t>
  </si>
  <si>
    <t xml:space="preserve">https://datazoneapps.modot.mo.gov/bi/apps/crashes/AccidentImage.ashx?id=3180029637	</t>
  </si>
  <si>
    <t xml:space="preserve">2180080796	</t>
  </si>
  <si>
    <t>RAIN</t>
  </si>
  <si>
    <t>RP 982851</t>
  </si>
  <si>
    <t xml:space="preserve">https://datazoneapps.modot.mo.gov/bi/apps/crashes/AccidentImage.ashx?id=2180080796	</t>
  </si>
  <si>
    <t xml:space="preserve">2190003367	</t>
  </si>
  <si>
    <t>SNOW</t>
  </si>
  <si>
    <t>SAT</t>
  </si>
  <si>
    <t>US 160</t>
  </si>
  <si>
    <t xml:space="preserve">https://datazoneapps.modot.mo.gov/bi/apps/crashes/AccidentImage.ashx?id=2190003367	</t>
  </si>
  <si>
    <t xml:space="preserve">2190017385	</t>
  </si>
  <si>
    <t xml:space="preserve">https://datazoneapps.modot.mo.gov/bi/apps/crashes/AccidentImage.ashx?id=2190017385	</t>
  </si>
  <si>
    <t xml:space="preserve">2190020176	</t>
  </si>
  <si>
    <t>RP 988738</t>
  </si>
  <si>
    <t xml:space="preserve">https://datazoneapps.modot.mo.gov/bi/apps/crashes/AccidentImage.ashx?id=2190020176	</t>
  </si>
  <si>
    <t xml:space="preserve">2190020151	</t>
  </si>
  <si>
    <t xml:space="preserve">https://datazoneapps.modot.mo.gov/bi/apps/crashes/AccidentImage.ashx?id=2190020151	</t>
  </si>
  <si>
    <t xml:space="preserve">2190020262	</t>
  </si>
  <si>
    <t xml:space="preserve">https://datazoneapps.modot.mo.gov/bi/apps/crashes/AccidentImage.ashx?id=2190020262	</t>
  </si>
  <si>
    <t xml:space="preserve">2190036940	</t>
  </si>
  <si>
    <t>CST KEARNEY ST</t>
  </si>
  <si>
    <t xml:space="preserve">https://datazoneapps.modot.mo.gov/bi/apps/crashes/AccidentImage.ashx?id=2190036940	</t>
  </si>
  <si>
    <t xml:space="preserve">2190034440	</t>
  </si>
  <si>
    <t xml:space="preserve">https://datazoneapps.modot.mo.gov/bi/apps/crashes/AccidentImage.ashx?id=2190034440	</t>
  </si>
  <si>
    <t xml:space="preserve">2190036223	</t>
  </si>
  <si>
    <t>ERM WEST IS 44 MILE 78.0</t>
  </si>
  <si>
    <t xml:space="preserve">https://datazoneapps.modot.mo.gov/bi/apps/crashes/AccidentImage.ashx?id=2190036223	</t>
  </si>
  <si>
    <t xml:space="preserve">2190047570	</t>
  </si>
  <si>
    <t xml:space="preserve">https://datazoneapps.modot.mo.gov/bi/apps/crashes/AccidentImage.ashx?id=2190047570	</t>
  </si>
  <si>
    <t xml:space="preserve">2190048218	</t>
  </si>
  <si>
    <t xml:space="preserve">https://datazoneapps.modot.mo.gov/bi/apps/crashes/AccidentImage.ashx?id=2190048218	</t>
  </si>
  <si>
    <t xml:space="preserve">2190049206	</t>
  </si>
  <si>
    <t>ERM EAST IS 44 MILE 81.2</t>
  </si>
  <si>
    <t xml:space="preserve">https://datazoneapps.modot.mo.gov/bi/apps/crashes/AccidentImage.ashx?id=2190049206	</t>
  </si>
  <si>
    <t xml:space="preserve">2190048613	</t>
  </si>
  <si>
    <t xml:space="preserve">https://datazoneapps.modot.mo.gov/bi/apps/crashes/AccidentImage.ashx?id=2190048613	</t>
  </si>
  <si>
    <t xml:space="preserve">2190048623*	</t>
  </si>
  <si>
    <t>ERM EAST IS 44 MILE 75.0</t>
  </si>
  <si>
    <t xml:space="preserve">https://datazoneapps.modot.mo.gov/bi/apps/crashes/AccidentImage.ashx?id=2190048623	</t>
  </si>
  <si>
    <t xml:space="preserve">2190057965	</t>
  </si>
  <si>
    <t>ERM EAST IS 44 MILE 79.8</t>
  </si>
  <si>
    <t xml:space="preserve">https://datazoneapps.modot.mo.gov/bi/apps/crashes/AccidentImage.ashx?id=2190057965	</t>
  </si>
  <si>
    <t xml:space="preserve">2190069074*	</t>
  </si>
  <si>
    <t xml:space="preserve">https://datazoneapps.modot.mo.gov/bi/apps/crashes/AccidentImage.ashx?id=2190069074	</t>
  </si>
  <si>
    <t xml:space="preserve">2190095034	</t>
  </si>
  <si>
    <t>DARK W/ STREET LIGHTS OFF</t>
  </si>
  <si>
    <t xml:space="preserve">https://datazoneapps.modot.mo.gov/bi/apps/crashes/AccidentImage.ashx?id=2190095034	</t>
  </si>
  <si>
    <t xml:space="preserve">2190091111	</t>
  </si>
  <si>
    <t xml:space="preserve">https://datazoneapps.modot.mo.gov/bi/apps/crashes/AccidentImage.ashx?id=2190091111	</t>
  </si>
  <si>
    <t>SUSPECTED SERIOUS INJURY</t>
  </si>
  <si>
    <t xml:space="preserve">2200003105	</t>
  </si>
  <si>
    <t>UNKNOWN</t>
  </si>
  <si>
    <t>CABLE BARRIER</t>
  </si>
  <si>
    <t>ERM WEST IS 44 MILE 74.8</t>
  </si>
  <si>
    <t xml:space="preserve">https://datazoneapps.modot.mo.gov/bi/apps/crashes/AccidentImage.ashx?id=2200003105	</t>
  </si>
  <si>
    <t xml:space="preserve">2200036241*	</t>
  </si>
  <si>
    <t xml:space="preserve">https://datazoneapps.modot.mo.gov/bi/apps/crashes/AccidentImage.ashx?id=2200036241	</t>
  </si>
  <si>
    <t xml:space="preserve">2200037258	</t>
  </si>
  <si>
    <t>ERM WEST IS 44 MILE 81.6</t>
  </si>
  <si>
    <t xml:space="preserve">https://datazoneapps.modot.mo.gov/bi/apps/crashes/AccidentImage.ashx?id=2200037258	</t>
  </si>
  <si>
    <t xml:space="preserve">2200039847	</t>
  </si>
  <si>
    <t>RP 3170</t>
  </si>
  <si>
    <t xml:space="preserve">https://datazoneapps.modot.mo.gov/bi/apps/crashes/AccidentImage.ashx?id=2200039847	</t>
  </si>
  <si>
    <t xml:space="preserve">2200041347	</t>
  </si>
  <si>
    <t>ERM WEST IS 44 MILE 80.6</t>
  </si>
  <si>
    <t xml:space="preserve">https://datazoneapps.modot.mo.gov/bi/apps/crashes/AccidentImage.ashx?id=2200041347	</t>
  </si>
  <si>
    <t xml:space="preserve">2200041626*	</t>
  </si>
  <si>
    <t>ERM WEST IS 44 MILE 77.2</t>
  </si>
  <si>
    <t xml:space="preserve">https://datazoneapps.modot.mo.gov/bi/apps/crashes/AccidentImage.ashx?id=2200041626	</t>
  </si>
  <si>
    <t xml:space="preserve">2200042068	</t>
  </si>
  <si>
    <t xml:space="preserve">https://datazoneapps.modot.mo.gov/bi/apps/crashes/AccidentImage.ashx?id=2200042068	</t>
  </si>
  <si>
    <t>FATAL</t>
  </si>
  <si>
    <t xml:space="preserve">2200045144	</t>
  </si>
  <si>
    <t xml:space="preserve">https://datazoneapps.modot.mo.gov/bi/apps/crashes/AccidentImage.ashx?id=2200045144	</t>
  </si>
  <si>
    <t xml:space="preserve">2200057952	</t>
  </si>
  <si>
    <t>ERM WEST IS 44 MILE 78.8</t>
  </si>
  <si>
    <t xml:space="preserve">https://datazoneapps.modot.mo.gov/bi/apps/crashes/AccidentImage.ashx?id=2200057952	</t>
  </si>
  <si>
    <t xml:space="preserve">2200065684	</t>
  </si>
  <si>
    <t>ERM WEST IS 44 MILE 78.6</t>
  </si>
  <si>
    <t xml:space="preserve">https://datazoneapps.modot.mo.gov/bi/apps/crashes/AccidentImage.ashx?id=2200065684	</t>
  </si>
  <si>
    <t xml:space="preserve">2200085311	</t>
  </si>
  <si>
    <t>RP 3167</t>
  </si>
  <si>
    <t xml:space="preserve">https://datazoneapps.modot.mo.gov/bi/apps/crashes/AccidentImage.ashx?id=2200085311	</t>
  </si>
  <si>
    <t xml:space="preserve">2200085677	</t>
  </si>
  <si>
    <t xml:space="preserve">https://datazoneapps.modot.mo.gov/bi/apps/crashes/AccidentImage.ashx?id=2200085677	</t>
  </si>
  <si>
    <t xml:space="preserve">2210020175	</t>
  </si>
  <si>
    <t xml:space="preserve">https://datazoneapps.modot.mo.gov/bi/apps/crashes/AccidentImage.ashx?id=2210020175	</t>
  </si>
  <si>
    <t xml:space="preserve">2210024260	</t>
  </si>
  <si>
    <t xml:space="preserve">https://datazoneapps.modot.mo.gov/bi/apps/crashes/AccidentImage.ashx?id=2210024260	</t>
  </si>
  <si>
    <t xml:space="preserve">2210024294	</t>
  </si>
  <si>
    <t>ERM EAST IS 44 MILE 82.0</t>
  </si>
  <si>
    <t xml:space="preserve">https://datazoneapps.modot.mo.gov/bi/apps/crashes/AccidentImage.ashx?id=2210024294	</t>
  </si>
  <si>
    <t xml:space="preserve">2210026385*	</t>
  </si>
  <si>
    <t xml:space="preserve">https://datazoneapps.modot.mo.gov/bi/apps/crashes/AccidentImage.ashx?id=2210026385	</t>
  </si>
  <si>
    <t xml:space="preserve">2210044651	</t>
  </si>
  <si>
    <t xml:space="preserve">https://datazoneapps.modot.mo.gov/bi/apps/crashes/AccidentImage.ashx?id=2210044651	</t>
  </si>
  <si>
    <t xml:space="preserve">2210065367	</t>
  </si>
  <si>
    <t>ERM EAST IS 44 MILE 78.8</t>
  </si>
  <si>
    <t xml:space="preserve">https://datazoneapps.modot.mo.gov/bi/apps/crashes/AccidentImage.ashx?id=2210065367	</t>
  </si>
  <si>
    <t xml:space="preserve">2210066864	</t>
  </si>
  <si>
    <t xml:space="preserve">https://datazoneapps.modot.mo.gov/bi/apps/crashes/AccidentImage.ashx?id=2210066864	</t>
  </si>
  <si>
    <t xml:space="preserve">2210069645	</t>
  </si>
  <si>
    <t>ERM WEST IS 44 MILE 78.2</t>
  </si>
  <si>
    <t xml:space="preserve">https://datazoneapps.modot.mo.gov/bi/apps/crashes/AccidentImage.ashx?id=2210069645	</t>
  </si>
  <si>
    <t xml:space="preserve">2210075848	</t>
  </si>
  <si>
    <t xml:space="preserve">https://datazoneapps.modot.mo.gov/bi/apps/crashes/AccidentImage.ashx?id=2210075848	</t>
  </si>
  <si>
    <t xml:space="preserve">3210027207	</t>
  </si>
  <si>
    <t xml:space="preserve">https://datazoneapps.modot.mo.gov/bi/apps/crashes/AccidentImage.ashx?id=3210027207	</t>
  </si>
  <si>
    <t xml:space="preserve">3210027208	</t>
  </si>
  <si>
    <t xml:space="preserve">https://datazoneapps.modot.mo.gov/bi/apps/crashes/AccidentImage.ashx?id=3210027208	</t>
  </si>
  <si>
    <t xml:space="preserve">2210100483	</t>
  </si>
  <si>
    <t xml:space="preserve">https://datazoneapps.modot.mo.gov/bi/apps/crashes/AccidentImage.ashx?id=2210100483	</t>
  </si>
  <si>
    <t xml:space="preserve">2210114161	</t>
  </si>
  <si>
    <t xml:space="preserve">https://datazoneapps.modot.mo.gov/bi/apps/crashes/AccidentImage.ashx?id=2210114161	</t>
  </si>
  <si>
    <t>Average Annual Existing Queue Crash Occurance</t>
  </si>
  <si>
    <t>Fatal</t>
  </si>
  <si>
    <t>Serious Injury</t>
  </si>
  <si>
    <t>Minior Injury</t>
  </si>
  <si>
    <t>PDO</t>
  </si>
  <si>
    <t>*Source: MoDOT Datazone Crash Reports</t>
  </si>
  <si>
    <t>Average Annual Proposed Queue Crash Reduction</t>
  </si>
  <si>
    <t>*Assume 75% reduction in Queue Attributed Crashes due to reduced congestion</t>
  </si>
  <si>
    <t>`</t>
  </si>
  <si>
    <t xml:space="preserve">MoDOT Incident Reporting - I-44 </t>
  </si>
  <si>
    <t>Start Time</t>
  </si>
  <si>
    <t>Event Type</t>
  </si>
  <si>
    <t>Cross Street</t>
  </si>
  <si>
    <t>Direction</t>
  </si>
  <si>
    <t>Log Mile</t>
  </si>
  <si>
    <t>Event Duration</t>
  </si>
  <si>
    <t>Lane Blockage Duration</t>
  </si>
  <si>
    <t>Delay Time</t>
  </si>
  <si>
    <t>Comments</t>
  </si>
  <si>
    <t>MVAN</t>
  </si>
  <si>
    <t>PAST EXIT 80 RTE H/BUS 44 PLEASANT HOPE GLENSTONE AVE AT MM 81.0</t>
  </si>
  <si>
    <t>E</t>
  </si>
  <si>
    <t>Data From CAD::  TypeCode: MVAN AgencyId: SPD Loc: 2198 E I44 Street: E I44 Int:  HighCross:  LowCross: I44WBGLENSTONE RAMP LocDesc: IN AREA CityName: SPRINGFIELD Started: 1/14/2018 7:50:22 AM RouteClosedTime: -</t>
  </si>
  <si>
    <t>eb 44 at the 81 mm in median</t>
  </si>
  <si>
    <t>minor accident</t>
  </si>
  <si>
    <t>PAST EXIT 80 BUS 44/RTE H GLENSTONE AVE PLEASANT HOPE AT MM 79.2</t>
  </si>
  <si>
    <t>W</t>
  </si>
  <si>
    <t xml:space="preserve">Unsure of lane blockage, PD was not yet on scene. </t>
  </si>
  <si>
    <t xml:space="preserve">stalled vehicle                                   </t>
  </si>
  <si>
    <t>PAST EXIT 80 RTE H/BUS 44 PLEASANT HOPE GLENSTONE AVE AT MM 82.0</t>
  </si>
  <si>
    <t xml:space="preserve">accident                                          </t>
  </si>
  <si>
    <t>BEFORE EXIT 80 RTE H/BUS 44 PLEASANT HOPE GLENSTONE AVE AT MM 78.8</t>
  </si>
  <si>
    <t>Data From CAD::  TypeCode: MVAN AgencyId: SPD Loc: 410 E I44 Street: E I44 Int:  HighCross:  LowCross: W I44 LocDesc:  CityName: SPRINGFIELD Started: 2/23/2018 12:44:19 PM RouteClosedTime: -</t>
  </si>
  <si>
    <t>vehicle on fire</t>
  </si>
  <si>
    <t>PAST EXIT 80 BUS 44/RTE H GLENSTONE AVE PLEASANT HOPE AT MM 80.2</t>
  </si>
  <si>
    <t>Data From CAD::  TypeCode: FTRUCK AgencyId: SFD Loc: N GLENSTONE AVE / E I44 Street:  Int: N GLENSTONE AVE / E I44 HighCross:  LowCross:  LocDesc:  CityName: SPRINGFIELD Started: 3/14/2018 1:47:53 PM RouteClosedTime: -</t>
  </si>
  <si>
    <t>Estimated Queue: 1 mile</t>
  </si>
  <si>
    <t>PAST EXIT 80 BUS 44/RTE H GLENSTONE AVE PLEASANT HOPE AT MM 79.0</t>
  </si>
  <si>
    <t>Data From CAD::  TypeCode: MVAN AgencyId: SPD Loc: 411 E I44 Street: E I44 Int:  HighCross:  LowCross: W I44 LocDesc:  CityName: SPRINGFIELD Started: 4/23/2018 12:42:13 PM RouteClosedTime: -</t>
  </si>
  <si>
    <t>PAST EXIT 82A US 65 SOUTH/BRANSON AT MM 82.0</t>
  </si>
  <si>
    <t>vehicle tangled up in guard cable // Bruce Pettus was contacted</t>
  </si>
  <si>
    <t>FTRUCK</t>
  </si>
  <si>
    <t>PAST EXIT 80 RTE H/BUS 44 PLEASANT HOPE GLENSTONE AVE AT MM 80.8</t>
  </si>
  <si>
    <t>Data From CAD::  TypeCode: FTRUCK AgencyId: SFD Loc: 1964 E I44 Street: E I44 Int:  HighCross:  LowCross: I44WBGLENSTONE RAMP LocDesc:  CityName: SPRINGFIELD Started: 4/29/2018 7:44:15 AM RouteClosedTime: -</t>
  </si>
  <si>
    <t>eb 44 at mm 80.8 on right shoulder</t>
  </si>
  <si>
    <t>wb 44 at mm 79 on right shoulder, estimated queue 1/2 mile</t>
  </si>
  <si>
    <t>BEFORE EXIT 80 RTE H/BUS 44 PLEASANT HOPE GLENSTONE AVE AT MM 78.6</t>
  </si>
  <si>
    <t>Data From CAD::  TypeCode: FAUTO AgencyId: SFD Loc: 212 W I44 Street: W I44 Int:  HighCross: N GRANT AVE LowCross: E I44 LocDesc:  CityName: SPRINGFIELD Started: 5/26/2018 12:41:47 PM RouteClosedTime: -</t>
  </si>
  <si>
    <t>eb 44 at mm 78.8 in right lane</t>
  </si>
  <si>
    <t>multi vehicle accident</t>
  </si>
  <si>
    <t>Data From CAD::  TypeCode: MVAN AgencyId: SPD Loc: N GLENSTONE AVE / E I44 Street:  Int: N GLENSTONE AVE / E I44 HighCross:  LowCross:  LocDesc:  CityName: SPRINGFIELD Started: 5/31/2018 10:07:01 AM RouteClosedTime: -</t>
  </si>
  <si>
    <t>BEFORE EXIT 80 RTE H/BUS 44 PLEASANT HOPE GLENSTONE AVE AT MM 79.0</t>
  </si>
  <si>
    <t>Data From CAD::  TypeCode: SV AgencyId: SPD Loc: 410 E I44 Street: E I44 Int:  HighCross:  LowCross: W I44 LocDesc:  CityName: SPRINGFIELD Started: 6/12/2018 10:10:52 AM RouteClosedTime: -</t>
  </si>
  <si>
    <t>PAST EXIT 80 BUS 44/RTE H GLENSTONE AVE PLEASANT HOPE AT MM 78.0</t>
  </si>
  <si>
    <t>Data From CAD::  TypeCode: MVAN AgencyId: SPD Loc: N KANSAS EXPY / W I44 Street:  Int: N KANSAS EXPY / W I44 HighCross:  LowCross:  LocDesc:  CityName: SPRINGFIELD Started: 6/17/2018 10:36:20 AM RouteClosedTime: -</t>
  </si>
  <si>
    <t>wb 44 before kansas in number 3 lane and shoulder, estimated queue 3/4 mile</t>
  </si>
  <si>
    <t>Data From CAD::  TypeCode: MVAN AgencyId: SPD Loc: 3307 E I44 Street: E I44 Int:  HighCross: US65NBI44WB RAMP LowCross: US65NBI44WB RAMP LocDesc:  CityName: SPRINGFIELD Started: 6/19/2018 5:27:22 PM RouteClosedTime: -</t>
  </si>
  <si>
    <t>PAST EXIT 77 MO 13 BOLIVER KANSAS EXPWY AT MM 78.4</t>
  </si>
  <si>
    <t>Data From CAD::  TypeCode: SV AgencyId: SPD Loc: 3832 W I44 Street: W I44 Int:  HighCross:  LowCross: W KEARNEY ST LocDesc:  CityName: SPRINGFIELD Started: 7/5/2018 8:25:40 AM RouteClosedTime: -</t>
  </si>
  <si>
    <t>eb mm 78.6 on I44</t>
  </si>
  <si>
    <t>PAST EXIT 80 RTE H/BUS 44 PLEASANT HOPE GLENSTONE AVE AT MM 82.2</t>
  </si>
  <si>
    <t>Data From CAD::  TypeCode: SV AgencyId: SPD Loc: N US65 / E I44 Street:  Int: N US65 / E I44 HighCross:  LowCross:  LocDesc:  CityName: SPRINGFIELD Started: 7/17/2018 8:02:52 AM RouteClosedTime: -</t>
  </si>
  <si>
    <t>BEFORE EXIT 80 BUS 44/RTE H GLENSTONE AVE PLEASANT HOPE AT MM 80.6</t>
  </si>
  <si>
    <t>Data From CAD::  TypeCode: MVAN AgencyId: SPD Loc: 1451 E I44 Street: E I44 Int:  HighCross: GLENSTONEI44WB RAMP LowCross: N NATIONAL AVE LocDesc:  CityName: SPRINGFIELD Started: 7/22/2018 11:36:51 AM RouteClosedTime: -</t>
  </si>
  <si>
    <t>wb 44 before glenstone in number 3 lane and right shoulder</t>
  </si>
  <si>
    <t>Data From CAD::  TypeCode: MVAN AgencyId: SPD Loc: 1440 W I44 Street: W I44 Int:  HighCross: KANSASI44EB RAMP LowCross: N BROADWAY AVE LocDesc:  CityName: SPRINGFIELD Started: 8/6/2018 7:47:37 AM RouteClosedTime: -</t>
  </si>
  <si>
    <t>Data From CAD::  TypeCode: SV AgencyId: SPD Loc: N GLENSTONE AVE / E I44 Street:  Int: N GLENSTONE AVE / E I44 HighCross:  LowCross:  LocDesc:  CityName: SPRINGFIELD Started: 8/21/2018 5:15:22 PM RouteClosedTime: -</t>
  </si>
  <si>
    <t>PAST EXIT 77 MO 13 BOLIVER KANSAS EXPWY AT MM 77.8</t>
  </si>
  <si>
    <t>eb 44 past kansas in left lane, estimated queue 1 mile</t>
  </si>
  <si>
    <t>TO EXIT 82A</t>
  </si>
  <si>
    <t>Data From CAD::  TypeCode: MVAN AgencyId: SPD Loc: E I44 / N US65 Street:  Int: E I44 / N US65 HighCross:  LowCross:  LocDesc:  CityName: SPRINGFIELD Started: 9/21/2018 2:29:28 PM RouteClosedTime: -</t>
  </si>
  <si>
    <t>number 2 lane blocked wb // wb 44 at 65 on right shoulder and ramp entrance lane, estimated queue 2 mile</t>
  </si>
  <si>
    <t>Data From CAD::  TypeCode: MVA AgencyId: SPD Loc: 2198 E I44 Street: E I44 Int:  HighCross:  LowCross: I44WBGLENSTONE RAMP LocDesc:  CityName: SPRINGFIELD Started: 9/21/2018 5:38:33 PM RouteClosedTime: -</t>
  </si>
  <si>
    <t>eb 44 at mm 81 in right lane</t>
  </si>
  <si>
    <t>Data From CAD::  TypeCode: MVA AgencyId: SPD Loc: 2359 E I44 Street: E I44 Int:  HighCross:  LowCross:  LocDesc:  CityName: SPRINGFIELD Started: 9/30/2018 5:34:09 PM RouteClosedTime: - // 904 was stationed at mm 83.6 for advanced warning // Springfield PD #18-39203 - 15 posts median guard-cable</t>
  </si>
  <si>
    <t>wb 44 at mm 81 in left lane, estimated queue 1/2 mile</t>
  </si>
  <si>
    <t>TO MO 13 NB</t>
  </si>
  <si>
    <t>Data From CAD::  TypeCode: SV AgencyId: SPD Loc: W I44 / N KANSAS EXPY Street:  Int: W I44 / N KANSAS EXPY HighCross:  LowCross:  LocDesc:  CityName: SPRINGFIELD Started: 10/31/2018 9:17:17 AM RouteClosedTime: -</t>
  </si>
  <si>
    <t>wb 44 on ramp at kansas</t>
  </si>
  <si>
    <t>TCONT</t>
  </si>
  <si>
    <t>PAST EXIT 80 RTE H/BUS 44 PLEASANT HOPE GLENSTONE AVE AT MM 81.2</t>
  </si>
  <si>
    <t>Data From CAD::  TypeCode: TCONT AgencyId: SPD Loc: E I44 / N GLENSTONE AVE Street:  Int: E I44 / N GLENSTONE AVE HighCross:  LowCross:  LocDesc:  CityName: SPRINGFIELD Started: 11/21/2018 3:46:35 PM RouteClosedTime: - // Brush in roadway. Moved to shoulder.</t>
  </si>
  <si>
    <t>Crystal with Spfd MT reports vehicle with a flat on the ramp I-44 wb to 65 SB. // Vehicle has a flat front passenger tire, waiting for Republic Tire.</t>
  </si>
  <si>
    <t>Data From CAD::  TypeCode: MVAN AgencyId: SPD Loc: N KANSAS EXPY / W I44 Street:  Int: N KANSAS EXPY / W I44 HighCross:  LowCross:  LocDesc:  CityName: SPRINGFIELD Started: 12/13/2018 5:43:06 PM RouteClosedTime: - // moving veh to the rs</t>
  </si>
  <si>
    <t>Data From CAD::  TypeCode: MVA AgencyId: SPD Loc: 1439 W I44 Street: W I44 Int:  HighCross: KANSASI44EB RAMP LowCross: N BROADWAY AVE LocDesc:  CityName: SPRINGFIELD Started: 12/14/2018 5:22:25 PM RouteClosedTime: - // req from greene co 911 for SWER unit to respond, SW910 responding, lit board 6015, 6016 // 2.42 mm queue at 1742 hours // henrys wrecking company  on scene // 18-50024  Springfield PD Report #  Henry's Tow has departed with one vehicle. // Additional Tow Co on scene,  Unknown Tow.</t>
  </si>
  <si>
    <t>SPD req divert traffic from I44 wb onto glenstone // queue around 1.6 miles // queue around 2.61 miles // sw 910 closed nb 65 to wb 44 ramp</t>
  </si>
  <si>
    <t>WB 44 at MM 80.1, All WB closed. Traffic being diverted to Glenstone exit. Estimated queue 2 miles</t>
  </si>
  <si>
    <t>PAST EXIT 82A US 65 SOUTH/BRANSON AT MM 81.8</t>
  </si>
  <si>
    <t>903 providing advanced warning at EB 77.2. WB 44 at MM 81.6 in left lane. Estimated queue 1 mile.</t>
  </si>
  <si>
    <t>EB 44 at MM 78. Left lane closed. Estimated queue 1.5 miles.</t>
  </si>
  <si>
    <t>debris in roadway</t>
  </si>
  <si>
    <t xml:space="preserve"> contacted 911 they stated two trash cans in roadway // per troop D getting multiple calls two trash bins also trash debris in the roadway // per Owen debris has been removed from lane #2 and shoulder. MT will return to remove it completely.</t>
  </si>
  <si>
    <t>per greene 911 dump truck into the guard cable. 901 releasing cable WB 79.6</t>
  </si>
  <si>
    <t>PAST EXIT 80 BUS 44/RTE H GLENSTONE AVE PLEASANT HOPE AT MM 78.6</t>
  </si>
  <si>
    <t>// 901 diverting traffic from WB to SB, 905 divertin traffic from NB to WB</t>
  </si>
  <si>
    <t>EB 44 at MM 78.8 on the right shoulder and partially in the right lane. Estimated queue 1 mile.</t>
  </si>
  <si>
    <t>WB 44 at MM 78.4 partially blocking the right lane. Estimated queue 1 mile.</t>
  </si>
  <si>
    <t>PAST EXIT 80 BUS 44/RTE H GLENSTONE AVE PLEASANT HOPE AT MM 78.4</t>
  </si>
  <si>
    <t>Data From CAD::  TypeCode: MVA AgencyId: SPD Loc: W I44 / N KANSAS EXPY Street:  Int: W I44 / N KANSAS EXPY HighCross:  LowCross:  LocDesc:  CityName: SPRINGFIELD Started: 6/9/2019 1:09:20 PM RouteClosedTime: - // 907 moving to WB 44 at MM 81.8 for advanced warning</t>
  </si>
  <si>
    <t>2 mile queue</t>
  </si>
  <si>
    <t>TO EXIT 77</t>
  </si>
  <si>
    <t>BEFORE EXIT 80 RTE H/BUS 44 PLEASANT HOPE GLENSTONE AVE AT MM 79.6</t>
  </si>
  <si>
    <t>PAST EXIT 77</t>
  </si>
  <si>
    <t>MVA</t>
  </si>
  <si>
    <t>WB 44 to SB 65 partially blocking ramp. WB right lane blocked. Minimal queue.</t>
  </si>
  <si>
    <t xml:space="preserve"> // 910 providing advanced warning at the EB 76.2</t>
  </si>
  <si>
    <t>PAST EXIT 77 MO 13 BOLIVER KANSAS EXPWY AT MM 78.0</t>
  </si>
  <si>
    <t>// 903 providing advanced warning at EB 74.8. EB 44 at MM 78.0. Left lane closed. Estimated queue 2 miles.</t>
  </si>
  <si>
    <t>PAST EXIT 77 MO 13 BOLIVER KANSAS EXPWY AT MM 77.6</t>
  </si>
  <si>
    <t>// Per Lonnie at 73.8 // This incident is connected to Event ID 2019-07-19-0053 // Per Lonnie - secondary incident cleared, in route to assist at scene // Per Bruce - Tow is cutting the drive shaft out of the semi, should be out of  here in 10 min. / Queue is 4 mile</t>
  </si>
  <si>
    <t>FSPILL</t>
  </si>
  <si>
    <t xml:space="preserve"> // Per 910 - taking floor dry to scene. // Semi going wb, crossed median into EB #1 lane. // Per Bruce call Matt Geiger // PEr Lonnie - advance warning at 74.4 EB // This incident is connected to Event ID 2019-07-19-0052</t>
  </si>
  <si>
    <t>WB 44 at MM 80 in the acceleration lane from Glenstone</t>
  </si>
  <si>
    <t>PAST EXIT 80 BUS 44/RTE H GLENSTONE AVE PLEASANT HOPE AT MM 78.8</t>
  </si>
  <si>
    <t>BEFORE EXIT 80 RTE H/BUS 44 PLEASANT HOPE GLENSTONE AVE AT MM 79.4</t>
  </si>
  <si>
    <t>905 76.8 advanced warning // Extension of 2019-08-08-0009 // EB I-44 at MM 79.4 in the left lane. Estimated queue 1 mile.</t>
  </si>
  <si>
    <t>abandoned vehicle</t>
  </si>
  <si>
    <t>TO MO 13 SB</t>
  </si>
  <si>
    <t>EB I-44 at MM 79.8 in the right lane and shoulder. Estimated queue 1 mile. // EB I-44 at MM 79.8 on the right shoulder.</t>
  </si>
  <si>
    <t>PAST EXIT 77 MO 13 BOLIVAR KANSAS EXPWY AT MM 77.8</t>
  </si>
  <si>
    <t>Traffic being diverted on to NB MO 13 per ER SW 910 // Springfield PD Report # 19-38308</t>
  </si>
  <si>
    <t>SW 905 advised of vehicle vs pedestrian AX, confirmed fatality, I-44 WB shut down // SW 901 Bruce Pettis notified of full closure // attempted to contact After Hours TIM for area, no answer and after multiple rings the line disconnects // SW 905 diverting traffic from closure at Glenstone Pkwy, I-44 shut down at Glenstone // SW 910 en route to assist // There was no community relations contact information listed on the contacts map.  Checked the MoDOT phone book for and left a message for Jennifer Williams, SW Communications Manager // extended duration due to police investigation for fatality accident</t>
  </si>
  <si>
    <t>TO EXIT 80</t>
  </si>
  <si>
    <t>WB ramp from I44 to go onto glenstone</t>
  </si>
  <si>
    <t>WB I-44 at MM 78 in the right lane. Moved to the Kansas ramp. // WB I-44 ramp to Kansas Exp, right shoulder.</t>
  </si>
  <si>
    <t>PAST EXIT 77 MO 13 BOLIVAR KANSAS EXPWY AT MM 78.0</t>
  </si>
  <si>
    <t>PAST EXIT 77 MO 13 BOLIVAR KANSAS EXPWY AT MM 77.6</t>
  </si>
  <si>
    <t>no dms board due to malfunction // delayed response due towaiting for response from home in the after hours // Henry's Towing on scene // dms board reset sevral times and finally took message</t>
  </si>
  <si>
    <t>FMVA</t>
  </si>
  <si>
    <t>Per 911 - single vehicle accident traveling eb, crossed over to wb lanes, at mm 78.8. Visual not available per camera's but do have Bruce's truck camera // Per radio traffic - conducting cpr, no response. // Bruce is at the scene at the request of HP // Per 910 - adv warn at 81.0 wb // Per Bruce - not fatality, officers said the man came back to life at the hospital. // Per Bruce - 10 more min. //  - Estimated queue 1.75 mile</t>
  </si>
  <si>
    <t>PAST EXIT 80 BUS 44/RTE H GLENSTONE AVE PLEASANT HOPE AT MM 79.8</t>
  </si>
  <si>
    <t>Vehicle into the cable</t>
  </si>
  <si>
    <t>MODOT notified</t>
  </si>
  <si>
    <t>Data From CAD::  TypeCode: SV AgencyId: SPD Loc: E I44 / N GLENSTONE AVE Street:  Int: E I44 / N GLENSTONE AVE HighCross:  LowCross:  LocDesc:  CityName: SPRINGFIELD Started: 1/4/2020 3:19:37 PM RouteClosedTime: -</t>
  </si>
  <si>
    <t>Single vehicle fire on I-44 EB right shoulder.  // Per Owen - emergency vehicles left, placing a vehicle tag on the vehicle to avoid other calls.</t>
  </si>
  <si>
    <t>PAST EXIT 82A US 65 SOUTH/BRANSON AT MM 82.2</t>
  </si>
  <si>
    <t>per bruce - have aaron flag traffic with his hand to move traffic along</t>
  </si>
  <si>
    <t>BEFORE EXIT 80 RTE H/BUS 44 PLEASANT HOPE GLENSTONE AVE AT MM 80.2</t>
  </si>
  <si>
    <t>902 advanced warning at the 76.4 MM. 901 on scene // possible wb into the eb lanes</t>
  </si>
  <si>
    <t>EB I-44 at MM 78.0 in the acceleration lane from Kansas. Minimal queue</t>
  </si>
  <si>
    <t>car into the cable on left side and semi on right shoulder unknown if semi was involved or stopped to help</t>
  </si>
  <si>
    <t>Greene County 911 requesting assistance with stalled vehicle blocking lane in need of jump start</t>
  </si>
  <si>
    <t>// 2 veh accident</t>
  </si>
  <si>
    <t>BEFORE EXIT 80 BUS 44/RTE H GLENSTONE AVE PLEASANT HOPE AT MM 80.8</t>
  </si>
  <si>
    <t>Angela was notified per John A. //  Estimated queue 2 miles</t>
  </si>
  <si>
    <t>PAST EXIT 80 at MM 79.8</t>
  </si>
  <si>
    <t>PAST EXIT 80 BUS 44/RTE H GLENSTONE AVE PLEASANT HOPE AT MM 80.6</t>
  </si>
  <si>
    <t>PD requesting floor dry from ER. 905 to the scene with floor dry // WB I-44 at MM 80.6. Left lane closed. Estimated queue 2 miles.</t>
  </si>
  <si>
    <t>removed flood gate extended duration due to tow</t>
  </si>
  <si>
    <t>PAST EXIT 80 BUS 44/RTE H GLENSTONE AVE PLEASANT HOPE AT MM 78.2</t>
  </si>
  <si>
    <t>per SPD on scene just grass seed spilled from a dump truck // greene co 911 called at 1719 and stated the mva is WB on I44 just east of kansas instead of initially reported as EB on I44 // Estimated WB queue 4.5 miles, EB queue 2.5 miles // confirmed guard cable damage</t>
  </si>
  <si>
    <t>INCIDENT ALERT SENT  SW 904 sent up traffic control at the 81.6MM // traffic being diverted to glenstone // sw904 STATED THAT THERE WAS A 3 MILE BACK UP // greene county dispatch stated that the car was under the tractor trailer</t>
  </si>
  <si>
    <t>SW 903 had to cut the cable at the 79.8 MM, Springfield PD report #20-19798, call report  #20-26-SW-1823-4</t>
  </si>
  <si>
    <t>SW 910 reported TT off roadway into ditch and heavy tow was on scene to attempt to remove TT from ditch. // Extended duration due to heavy tow worked on removing TT from ditch. // Springfield PD report Number 20-20497 // 20-26-sl-1096-13: Exit Sign  // Extended duration due to Heavy tow was still working on removing TT. // SW 910 reported TT was retrieved and hooking TT up to heavy wrecker. Would temporarily close lane 1 to allow Heavy Wrecker to hook up to TT. // Flood Gate Activated. // Flood Gate Updated.</t>
  </si>
  <si>
    <t>WB I-44 at MM 78.0. 2 right lanes closed. Estimated queue 3 miles.</t>
  </si>
  <si>
    <t>Per 901, recovery of the semi will occur at 9 PM // Guard cable damage // 908 at scene, 910 WB 82.2 advanced warning // 904 advanced warning at the 81.6 WB</t>
  </si>
  <si>
    <t>Per SW 904 44EB &amp;  44WB Clsd in both directions for Tractor Trailor Recovery   // MM 79.2-MM 79.8 // Manually entered into TMS and Confirmed // 20-28-sl-1096-11: Guard Cable // SW 904 stated ETA for highway to be reopen was 3.5 to 4.5 hrs // SW 904 stated TT was hauling produce and the product was having to be unloaded before TT would be uprighted.</t>
  </si>
  <si>
    <t>incident</t>
  </si>
  <si>
    <t>BEFORE EXIT 80 RTE H/BUS 44 PLEASANT HOPE GLENSTONE AVE AT MM 79.2</t>
  </si>
  <si>
    <t>NO ER due to SW Er unit responded to incident 2020-07-16-0091. // PD handled incident. // SW 904 stated all lanes were open.</t>
  </si>
  <si>
    <t>extended duration due to difficult tow removal out of guardrail // guradrail damage 20-31-sw-2600-4  springfield pd report # 20-24247</t>
  </si>
  <si>
    <t>PAST EXIT 80 RTE H/BUS 44 PLEASANT HOPE GLENSTONE AVE AT MM 80.4</t>
  </si>
  <si>
    <t>PAST EXIT 80 BUS 44/RTE H GLENSTONE AVE PLEASANT HOPE AT MM 79</t>
  </si>
  <si>
    <t>908 diverting WB onto Glenstone // 908 relocated to WB 44 at 65 diverting all WB traffic to SB 65 // Extended recovery time due to unloading one of the semis // 902 providing advanced warning for the NB 65 to WB 44 traffic queue // Semi roll over/ on fire // .</t>
  </si>
  <si>
    <t>PAST EXIT 80 RTE H/BUS 44 PLEASANT HOPE GLENSTONE AVE AT MM 81.8</t>
  </si>
  <si>
    <t>PAST EXIT 80 BUS 44/RTE H GLENSTONE AVE PLEASANT HOPE AT MM 79.6</t>
  </si>
  <si>
    <t>Marc Lewis has been notified, he will get a unit in route for traffic control // Extended duration due to heavy tow on scene to retrieve tractor trailer // SW 904 stated departed scene to refuel truck and would be back enroute to location once truck is full on fuel. // SW 904 stated tow reported would be a 8hr extended duration due to both TT were busted in half and would require complete break down/unload of both TT's. An reload to new TT and then require removal of both damaged TT's. // SW 904 stated was back on scene  // SW 904 stated cleared cat litter debris from roadway with help of heavy tow that was on scene.</t>
  </si>
  <si>
    <t>Semi over turned wb 44, fuel spill // Asked 911 about the amount of the fuel spill they said they did not know.</t>
  </si>
  <si>
    <t>approx 15 ft guardrail damaged, CR#21-6-SW-938-0</t>
  </si>
  <si>
    <t>BEFORE EXIT 80 RTE H/BUS 44 PLEASANT HOPE GLENSTONE AVE AT MM 79.8</t>
  </si>
  <si>
    <t>Data From CAD::  TypeCode: MVAN AgencyId: SPD Loc: 1404 E I44 Street: E I44 Int:  HighCross: I44EBGLENSTONE RAMP LowCross: N NATIONAL AVE LocDesc:  CityName: SPRINGFIELD Started: 2/26/2021 5:18:22 PM RouteClosedTime: - // Duration extended due to traffic backup // ER910 remaining for advanced warning of slow traffic ahead</t>
  </si>
  <si>
    <t>.</t>
  </si>
  <si>
    <t>WB I-44 at MM 80.0. All lanes open</t>
  </si>
  <si>
    <t>904 to the scene // 904 providing advanced warning at the 78.4</t>
  </si>
  <si>
    <t>WB I-44 at MM 78.0. Right lane closed. Estimated queue 1 mile</t>
  </si>
  <si>
    <t>Per 911 - need responder for stalled vehicle in eb lane at mm 78.8, I told her i would have to call someone in as 910 was on a fatal. She told me to disregard.</t>
  </si>
  <si>
    <t>Data From CAD::  TypeCode: MVAN AgencyId: SPD Loc: 212 W I44 Street: W I44 Int:  HighCross: N GRANT AVE LowCross: E I44 LocDesc:  CityName: SPRINGFIELD Started: 4/8/2021 11:59:15 AM RouteClosedTime: -</t>
  </si>
  <si>
    <t>Data From CAD::  TypeCode: MVA AgencyId: SPD Loc: E I44 / N GLENSTONE AVE Street:  Int: E I44 / N GLENSTONE AVE HighCross: E I44 LowCross: N GLENSTONE AVE LocDesc:  CityName: SPRINGFIELD Started: 5/8/2021 5:33:17 PM RouteClosedTime: -</t>
  </si>
  <si>
    <t>Semi vs Car on ramp. Per 911 - semi is spilling fuel on ramp, unknown quantity. // Per 902 - I spoke to Ben and will call Gary McLarry about the fuel. // Spfd MT is in route with sand for the fuel spill.</t>
  </si>
  <si>
    <t>Diesel spill. ER dropping sand.</t>
  </si>
  <si>
    <t>910 providing advanced warning at the 82.0</t>
  </si>
  <si>
    <t>WB I-44 at MM 80.0.  All lanes open.</t>
  </si>
  <si>
    <t>Data From CAD::  TypeCode: MVAN AgencyId: SPD Loc: 1600 W I44 Street: W I44 Int:  HighCross: N KANSAS EXPY LowCross: N KANSAS EXPY LocDesc:  CityName: SPRINGFIELD Started: 10/1/2021 3:45:48 PM RouteClosedTime: -</t>
  </si>
  <si>
    <t>Inj crash - 3 kids, 5 yr,, 9 yr and 11 yr old and one teenager.</t>
  </si>
  <si>
    <t>PAST EXIT 77 MO 13 BOLIVAR KANSAS EXPWY AT MM 78.2</t>
  </si>
  <si>
    <t>clearing upon arrival per ER 910</t>
  </si>
  <si>
    <t>this incident was a overturned TT. This is a recovery</t>
  </si>
  <si>
    <t>PAST EXIT 80 RTE H/BUS 44 PLEASANT HOPE GLENSTONE AVE AT MM 80.6</t>
  </si>
  <si>
    <t>PD NEEDING GUARDCABLE CUT DUE TO SEMI BEING TANGLED IN IT/ 560 FT GUARDCABLE DAMAGED/ NO PD REPORT AT THIS TIME/ CALL REPORT21-49-SW-14-8 // Springfield PD Report #21-43375/ semi was able drive off under its own power</t>
  </si>
  <si>
    <t>PAST EXIT 80 BUS 44/RTE H GLENSTONE AVE PLEASANT HOPE AT MM 80.0</t>
  </si>
  <si>
    <t xml:space="preserve">WB I-44 at MM 80.0. </t>
  </si>
  <si>
    <t>Project Corridor Incident History Summary</t>
  </si>
  <si>
    <t>Event Occurances</t>
  </si>
  <si>
    <t>Number Years of Data</t>
  </si>
  <si>
    <t>Total Delay (min)</t>
  </si>
  <si>
    <t>Average Delay per Incident (min)</t>
  </si>
  <si>
    <t>Average Incidents Per Year (No Build)</t>
  </si>
  <si>
    <t>Average Annual Incident Delay (min) (No Build)</t>
  </si>
  <si>
    <t>Average Annual Incident Delay (min) (Builld)</t>
  </si>
  <si>
    <t>*Assume 62% reduction in incident delay due to added lane in Build Condition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</si>
</sst>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_(* #,##0.000_);_(* \(#,##0.000\);_(* &quot;-&quot;??_);_(@_)"/>
    <numFmt numFmtId="167" formatCode="0.0"/>
    <numFmt numFmtId="168" formatCode="0.0000"/>
    <numFmt numFmtId="169" formatCode="_(&quot;$&quot;* #,##0.0_);_(&quot;$&quot;* \(#,##0.0\);_(&quot;$&quot;* &quot;-&quot;??_);_(@_)"/>
    <numFmt numFmtId="170" formatCode="0.000"/>
    <numFmt numFmtId="171" formatCode="_(* #,##0.000000_);_(* \(#,##0.000000\);_(* &quot;-&quot;??_);_(@_)"/>
    <numFmt numFmtId="172" formatCode="&quot;$&quot;#,##0"/>
    <numFmt numFmtId="173" formatCode="[$£-809]#,##0.000"/>
    <numFmt numFmtId="174" formatCode="[$-409]mmmm\ d\,\ yyyy;@"/>
  </numFmts>
  <fonts count="71">
    <font>
      <sz val="11"/>
      <color theme="1"/>
      <name val="Calibri"/>
      <family val="2"/>
      <scheme val="minor"/>
    </font>
    <font>
      <sz val="11"/>
      <color theme="1"/>
      <name val="Calibri"/>
      <family val="2"/>
      <scheme val="minor"/>
    </font>
    <font>
      <u/>
      <sz val="11"/>
      <color theme="10"/>
      <name val="Calibri"/>
      <family val="2"/>
      <scheme val="minor"/>
    </font>
    <font>
      <sz val="11"/>
      <color rgb="FF000000"/>
      <name val="Franklin Gothic Book"/>
      <family val="2"/>
    </font>
    <font>
      <b/>
      <sz val="9"/>
      <color rgb="FF000000"/>
      <name val="Franklin Gothic Book"/>
      <family val="2"/>
    </font>
    <font>
      <sz val="9"/>
      <color rgb="FF000000"/>
      <name val="Franklin Gothic Book"/>
      <family val="2"/>
    </font>
    <font>
      <sz val="9"/>
      <color theme="1"/>
      <name val="Franklin Gothic Book"/>
      <family val="2"/>
    </font>
    <font>
      <vertAlign val="subscript"/>
      <sz val="9"/>
      <color rgb="FF000000"/>
      <name val="Franklin Gothic Book"/>
      <family val="2"/>
    </font>
    <font>
      <i/>
      <u/>
      <sz val="9"/>
      <color rgb="FF000000"/>
      <name val="Franklin Gothic Book"/>
      <family val="2"/>
    </font>
    <font>
      <b/>
      <sz val="11"/>
      <color theme="0"/>
      <name val="Franklin Gothic Book"/>
      <family val="2"/>
    </font>
    <font>
      <sz val="10"/>
      <color theme="1"/>
      <name val="Franklin Gothic Book"/>
      <family val="2"/>
    </font>
    <font>
      <b/>
      <sz val="10"/>
      <color theme="0"/>
      <name val="Franklin Gothic Book"/>
      <family val="2"/>
    </font>
    <font>
      <b/>
      <u/>
      <sz val="10"/>
      <color theme="1"/>
      <name val="Franklin Gothic Book"/>
      <family val="2"/>
    </font>
    <font>
      <b/>
      <sz val="10"/>
      <name val="Franklin Gothic Book"/>
      <family val="2"/>
    </font>
    <font>
      <sz val="10"/>
      <color theme="1"/>
      <name val="Arial Narrow"/>
      <family val="2"/>
    </font>
    <font>
      <sz val="10"/>
      <color theme="0" tint="-0.249977111117893"/>
      <name val="Arial Narrow"/>
      <family val="2"/>
    </font>
    <font>
      <b/>
      <sz val="10"/>
      <color theme="1"/>
      <name val="Arial Narrow"/>
      <family val="2"/>
    </font>
    <font>
      <sz val="10"/>
      <name val="Arial Narrow"/>
      <family val="2"/>
    </font>
    <font>
      <sz val="8"/>
      <name val="Calibri"/>
      <family val="2"/>
      <scheme val="minor"/>
    </font>
    <font>
      <b/>
      <sz val="11"/>
      <color theme="1"/>
      <name val="Calibri"/>
      <family val="2"/>
      <scheme val="minor"/>
    </font>
    <font>
      <i/>
      <sz val="9"/>
      <color rgb="FF000000"/>
      <name val="Franklin Gothic Book"/>
      <family val="2"/>
    </font>
    <font>
      <b/>
      <u/>
      <sz val="11"/>
      <color theme="1"/>
      <name val="Calibri"/>
      <family val="2"/>
      <scheme val="minor"/>
    </font>
    <font>
      <sz val="10"/>
      <color theme="1"/>
      <name val="Calibri"/>
      <family val="2"/>
      <scheme val="minor"/>
    </font>
    <font>
      <i/>
      <sz val="10"/>
      <color theme="1"/>
      <name val="Franklin Gothic Book"/>
      <family val="2"/>
    </font>
    <font>
      <sz val="11"/>
      <name val="Franklin Gothic Book"/>
      <family val="2"/>
    </font>
    <font>
      <sz val="11"/>
      <color theme="1"/>
      <name val="Franklin Gothic Book"/>
      <family val="2"/>
    </font>
    <font>
      <u/>
      <sz val="11"/>
      <color theme="10"/>
      <name val="Franklin Gothic Book"/>
      <family val="2"/>
    </font>
    <font>
      <b/>
      <i/>
      <u/>
      <sz val="11"/>
      <color theme="1"/>
      <name val="Franklin Gothic Book"/>
      <family val="2"/>
    </font>
    <font>
      <u/>
      <sz val="11"/>
      <color theme="1"/>
      <name val="Calibri"/>
      <family val="2"/>
      <scheme val="minor"/>
    </font>
    <font>
      <sz val="11"/>
      <color rgb="FF000000"/>
      <name val="Segoe UI"/>
      <family val="2"/>
    </font>
    <font>
      <b/>
      <vertAlign val="subscript"/>
      <sz val="9"/>
      <color rgb="FF000000"/>
      <name val="Franklin Gothic Book"/>
      <family val="2"/>
    </font>
    <font>
      <u/>
      <sz val="8"/>
      <color theme="10"/>
      <name val="Franklin Gothic Book"/>
      <family val="2"/>
    </font>
    <font>
      <u/>
      <sz val="9"/>
      <color theme="10"/>
      <name val="Franklin Gothic Book"/>
      <family val="2"/>
    </font>
    <font>
      <b/>
      <sz val="10"/>
      <color theme="1"/>
      <name val="Franklin Gothic Book"/>
      <family val="2"/>
    </font>
    <font>
      <b/>
      <sz val="11"/>
      <color theme="1"/>
      <name val="Franklin Gothic Book"/>
      <family val="2"/>
    </font>
    <font>
      <b/>
      <sz val="14"/>
      <color theme="0"/>
      <name val="Franklin Gothic Book"/>
      <family val="2"/>
    </font>
    <font>
      <u/>
      <sz val="9"/>
      <color theme="10"/>
      <name val="Calibri"/>
      <family val="2"/>
      <scheme val="minor"/>
    </font>
    <font>
      <sz val="9"/>
      <color theme="1"/>
      <name val="Calibri"/>
      <family val="2"/>
      <scheme val="minor"/>
    </font>
    <font>
      <sz val="10"/>
      <color theme="1"/>
      <name val="Futura Lt BT"/>
      <family val="2"/>
    </font>
    <font>
      <sz val="11"/>
      <color theme="1"/>
      <name val="Futura Lt BT"/>
      <family val="2"/>
    </font>
    <font>
      <sz val="11"/>
      <color theme="0"/>
      <name val="Gotham Medium"/>
      <family val="3"/>
    </font>
    <font>
      <sz val="10"/>
      <color theme="0"/>
      <name val="Futura Lt BT"/>
      <family val="2"/>
    </font>
    <font>
      <b/>
      <sz val="10"/>
      <color theme="0"/>
      <name val="Futura Lt BT"/>
      <family val="2"/>
    </font>
    <font>
      <vertAlign val="subscript"/>
      <sz val="10"/>
      <color theme="1"/>
      <name val="Futura Lt BT"/>
      <family val="2"/>
    </font>
    <font>
      <sz val="10"/>
      <color rgb="FFFF0000"/>
      <name val="Futura Lt BT"/>
      <family val="2"/>
    </font>
    <font>
      <sz val="9"/>
      <color theme="1"/>
      <name val="Futura Lt BT"/>
      <family val="2"/>
    </font>
    <font>
      <sz val="9"/>
      <color rgb="FFFF0000"/>
      <name val="Futura Lt BT"/>
      <family val="2"/>
    </font>
    <font>
      <sz val="10"/>
      <color theme="0"/>
      <name val="Gotham Medium"/>
      <family val="3"/>
    </font>
    <font>
      <b/>
      <sz val="10"/>
      <color theme="1"/>
      <name val="Futura Lt BT"/>
      <family val="2"/>
    </font>
    <font>
      <b/>
      <sz val="10"/>
      <name val="Futura Lt BT"/>
      <family val="2"/>
    </font>
    <font>
      <sz val="8"/>
      <color theme="0"/>
      <name val="Gotham Medium"/>
      <family val="3"/>
    </font>
    <font>
      <vertAlign val="subscript"/>
      <sz val="8"/>
      <color theme="0"/>
      <name val="Gotham Medium"/>
      <family val="3"/>
    </font>
    <font>
      <b/>
      <vertAlign val="superscript"/>
      <sz val="10"/>
      <color theme="0"/>
      <name val="Futura Lt BT"/>
      <family val="2"/>
    </font>
    <font>
      <b/>
      <vertAlign val="subscript"/>
      <sz val="10"/>
      <color theme="0"/>
      <name val="Futura Lt BT"/>
      <family val="2"/>
    </font>
    <font>
      <b/>
      <sz val="9"/>
      <color theme="0"/>
      <name val="Futura Lt BT"/>
      <family val="2"/>
    </font>
    <font>
      <b/>
      <sz val="11"/>
      <color theme="0"/>
      <name val="Futura Lt BT"/>
      <family val="2"/>
    </font>
    <font>
      <b/>
      <sz val="11"/>
      <color theme="0"/>
      <name val="Calibri"/>
      <family val="2"/>
      <scheme val="minor"/>
    </font>
    <font>
      <sz val="11"/>
      <color theme="0"/>
      <name val="Calibri"/>
      <family val="2"/>
      <scheme val="minor"/>
    </font>
    <font>
      <b/>
      <u/>
      <sz val="11"/>
      <color theme="0"/>
      <name val="Calibri"/>
      <family val="2"/>
      <scheme val="minor"/>
    </font>
    <font>
      <b/>
      <u/>
      <vertAlign val="subscript"/>
      <sz val="11"/>
      <color theme="0"/>
      <name val="Calibri"/>
      <family val="2"/>
      <scheme val="minor"/>
    </font>
    <font>
      <sz val="11"/>
      <color theme="0"/>
      <name val="Franklin Gothic Book"/>
      <family val="2"/>
    </font>
    <font>
      <b/>
      <u/>
      <sz val="11"/>
      <color theme="1"/>
      <name val="Franklin Gothic Book"/>
      <family val="2"/>
    </font>
    <font>
      <u/>
      <sz val="9.35"/>
      <color theme="10"/>
      <name val="Calibri"/>
      <family val="2"/>
    </font>
    <font>
      <u/>
      <sz val="11"/>
      <color theme="10"/>
      <name val="Calibri"/>
      <family val="2"/>
    </font>
    <font>
      <sz val="10"/>
      <name val="Arial"/>
      <family val="2"/>
    </font>
    <font>
      <sz val="9"/>
      <color theme="0"/>
      <name val="Arial"/>
      <family val="2"/>
    </font>
    <font>
      <b/>
      <sz val="14"/>
      <color rgb="FF005695"/>
      <name val="Calibri"/>
      <family val="2"/>
      <scheme val="minor"/>
    </font>
    <font>
      <b/>
      <u/>
      <sz val="9"/>
      <name val="Arial"/>
      <family val="2"/>
    </font>
    <font>
      <sz val="9"/>
      <name val="Arial"/>
      <family val="2"/>
    </font>
    <font>
      <sz val="10"/>
      <name val="Futura Lt BT"/>
      <family val="2"/>
    </font>
    <font>
      <b/>
      <sz val="10"/>
      <color theme="0"/>
      <name val="Calibri"/>
      <family val="2"/>
      <scheme val="minor"/>
    </font>
  </fonts>
  <fills count="15">
    <fill>
      <patternFill patternType="none"/>
    </fill>
    <fill>
      <patternFill patternType="gray125"/>
    </fill>
    <fill>
      <patternFill patternType="solid">
        <fgColor rgb="FFFFFFFF"/>
        <bgColor rgb="FF000000"/>
      </patternFill>
    </fill>
    <fill>
      <patternFill patternType="solid">
        <fgColor theme="0"/>
        <bgColor indexed="64"/>
      </patternFill>
    </fill>
    <fill>
      <patternFill patternType="solid">
        <fgColor rgb="FFFFFF00"/>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7"/>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tint="-0.249977111117893"/>
        <bgColor indexed="64"/>
      </patternFill>
    </fill>
    <fill>
      <patternFill patternType="solid">
        <fgColor rgb="FF0096D6"/>
        <bgColor indexed="64"/>
      </patternFill>
    </fill>
    <fill>
      <patternFill patternType="solid">
        <fgColor rgb="FF005695"/>
        <bgColor indexed="64"/>
      </patternFill>
    </fill>
    <fill>
      <patternFill patternType="solid">
        <fgColor rgb="FFCCEEFC"/>
        <bgColor indexed="64"/>
      </patternFill>
    </fill>
  </fills>
  <borders count="107">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hair">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style="thin">
        <color rgb="FF808080"/>
      </right>
      <top style="thin">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theme="0" tint="-0.499984740745262"/>
      </right>
      <top/>
      <bottom style="thin">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hair">
        <color theme="0" tint="-0.499984740745262"/>
      </top>
      <bottom style="hair">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hair">
        <color indexed="64"/>
      </left>
      <right/>
      <top/>
      <bottom/>
      <diagonal/>
    </border>
    <border>
      <left/>
      <right style="hair">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bottom style="hair">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hair">
        <color indexed="64"/>
      </bottom>
      <diagonal/>
    </border>
    <border>
      <left style="medium">
        <color indexed="64"/>
      </left>
      <right/>
      <top/>
      <bottom style="hair">
        <color indexed="64"/>
      </bottom>
      <diagonal/>
    </border>
    <border>
      <left/>
      <right style="dotted">
        <color indexed="64"/>
      </right>
      <top/>
      <bottom/>
      <diagonal/>
    </border>
    <border>
      <left/>
      <right style="dotted">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bottom style="hair">
        <color indexed="64"/>
      </bottom>
      <diagonal/>
    </border>
    <border>
      <left style="medium">
        <color indexed="64"/>
      </left>
      <right style="thin">
        <color theme="0" tint="-0.499984740745262"/>
      </right>
      <top style="thin">
        <color indexed="64"/>
      </top>
      <bottom/>
      <diagonal/>
    </border>
    <border>
      <left style="thin">
        <color theme="0" tint="-0.499984740745262"/>
      </left>
      <right style="medium">
        <color indexed="64"/>
      </right>
      <top/>
      <bottom/>
      <diagonal/>
    </border>
    <border>
      <left style="medium">
        <color indexed="64"/>
      </left>
      <right style="thin">
        <color theme="0" tint="-0.499984740745262"/>
      </right>
      <top style="hair">
        <color theme="0" tint="-0.499984740745262"/>
      </top>
      <bottom style="hair">
        <color indexed="64"/>
      </bottom>
      <diagonal/>
    </border>
    <border>
      <left style="thin">
        <color theme="0" tint="-0.499984740745262"/>
      </left>
      <right style="medium">
        <color indexed="64"/>
      </right>
      <top style="hair">
        <color theme="0" tint="-0.499984740745262"/>
      </top>
      <bottom style="hair">
        <color indexed="64"/>
      </bottom>
      <diagonal/>
    </border>
    <border>
      <left style="medium">
        <color indexed="64"/>
      </left>
      <right style="thin">
        <color theme="0" tint="-0.499984740745262"/>
      </right>
      <top/>
      <bottom style="hair">
        <color indexed="64"/>
      </bottom>
      <diagonal/>
    </border>
    <border>
      <left style="thin">
        <color theme="0" tint="-0.499984740745262"/>
      </left>
      <right style="medium">
        <color indexed="64"/>
      </right>
      <top/>
      <bottom style="hair">
        <color indexed="64"/>
      </bottom>
      <diagonal/>
    </border>
    <border>
      <left style="thin">
        <color theme="0" tint="-0.499984740745262"/>
      </left>
      <right style="medium">
        <color indexed="64"/>
      </right>
      <top/>
      <bottom style="thin">
        <color indexed="64"/>
      </bottom>
      <diagonal/>
    </border>
    <border>
      <left style="thin">
        <color rgb="FF808080"/>
      </left>
      <right style="medium">
        <color indexed="64"/>
      </right>
      <top/>
      <bottom/>
      <diagonal/>
    </border>
    <border>
      <left style="medium">
        <color indexed="64"/>
      </left>
      <right/>
      <top style="thin">
        <color rgb="FF808080"/>
      </top>
      <bottom/>
      <diagonal/>
    </border>
    <border>
      <left style="thin">
        <color rgb="FF808080"/>
      </left>
      <right style="medium">
        <color indexed="64"/>
      </right>
      <top style="thin">
        <color rgb="FF808080"/>
      </top>
      <bottom/>
      <diagonal/>
    </border>
    <border>
      <left style="medium">
        <color indexed="64"/>
      </left>
      <right style="medium">
        <color indexed="64"/>
      </right>
      <top style="thin">
        <color indexed="64"/>
      </top>
      <bottom/>
      <diagonal/>
    </border>
    <border>
      <left/>
      <right style="hair">
        <color indexed="64"/>
      </right>
      <top/>
      <bottom style="medium">
        <color indexed="64"/>
      </bottom>
      <diagonal/>
    </border>
    <border>
      <left style="hair">
        <color indexed="64"/>
      </left>
      <right/>
      <top/>
      <bottom style="thin">
        <color indexed="64"/>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23">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173" fontId="62" fillId="0" borderId="0" applyNumberFormat="0" applyFill="0" applyBorder="0" applyAlignment="0" applyProtection="0">
      <alignment vertical="top"/>
      <protection locked="0"/>
    </xf>
    <xf numFmtId="0" fontId="1" fillId="0" borderId="0"/>
    <xf numFmtId="0" fontId="63" fillId="0" borderId="0" applyNumberFormat="0" applyFill="0" applyBorder="0" applyAlignment="0" applyProtection="0">
      <alignment vertical="top"/>
      <protection locked="0"/>
    </xf>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64" fillId="0" borderId="0"/>
    <xf numFmtId="0" fontId="2" fillId="0" borderId="0" applyNumberFormat="0" applyFill="0" applyBorder="0" applyAlignment="0" applyProtection="0"/>
    <xf numFmtId="0" fontId="64" fillId="0" borderId="0"/>
    <xf numFmtId="43" fontId="64" fillId="0" borderId="0" applyFont="0" applyFill="0" applyBorder="0" applyAlignment="0" applyProtection="0"/>
    <xf numFmtId="9" fontId="64" fillId="0" borderId="0" applyFont="0" applyFill="0" applyBorder="0" applyAlignment="0" applyProtection="0"/>
    <xf numFmtId="44" fontId="64" fillId="0" borderId="0" applyFont="0" applyFill="0" applyBorder="0" applyAlignment="0" applyProtection="0"/>
    <xf numFmtId="0" fontId="64" fillId="0" borderId="0"/>
    <xf numFmtId="0" fontId="64" fillId="0" borderId="0"/>
  </cellStyleXfs>
  <cellXfs count="667">
    <xf numFmtId="0" fontId="0" fillId="0" borderId="0" xfId="0"/>
    <xf numFmtId="0" fontId="4" fillId="2" borderId="7" xfId="0" applyFont="1" applyFill="1" applyBorder="1"/>
    <xf numFmtId="0" fontId="5" fillId="2" borderId="9" xfId="0" applyFont="1" applyFill="1" applyBorder="1"/>
    <xf numFmtId="0" fontId="5" fillId="0" borderId="10" xfId="0" applyFont="1" applyBorder="1"/>
    <xf numFmtId="44" fontId="5" fillId="0" borderId="10" xfId="2" applyFont="1" applyFill="1" applyBorder="1"/>
    <xf numFmtId="0" fontId="5" fillId="0" borderId="11" xfId="0" applyFont="1" applyBorder="1"/>
    <xf numFmtId="164" fontId="5" fillId="0" borderId="10" xfId="2" applyNumberFormat="1" applyFont="1" applyFill="1" applyBorder="1"/>
    <xf numFmtId="0" fontId="5" fillId="0" borderId="12" xfId="0" applyFont="1" applyBorder="1" applyAlignment="1">
      <alignment horizontal="right"/>
    </xf>
    <xf numFmtId="0" fontId="5" fillId="0" borderId="10" xfId="0" applyFont="1" applyBorder="1" applyAlignment="1">
      <alignment horizontal="right"/>
    </xf>
    <xf numFmtId="166" fontId="5" fillId="0" borderId="10" xfId="1" applyNumberFormat="1" applyFont="1" applyFill="1" applyBorder="1"/>
    <xf numFmtId="166" fontId="5" fillId="0" borderId="10" xfId="1" applyNumberFormat="1" applyFont="1" applyFill="1" applyBorder="1" applyAlignment="1">
      <alignment horizontal="right"/>
    </xf>
    <xf numFmtId="164" fontId="5" fillId="0" borderId="10" xfId="2" applyNumberFormat="1" applyFont="1" applyFill="1" applyBorder="1" applyAlignment="1">
      <alignment horizontal="right"/>
    </xf>
    <xf numFmtId="0" fontId="5" fillId="0" borderId="1" xfId="0" applyFont="1" applyBorder="1"/>
    <xf numFmtId="43" fontId="6" fillId="0" borderId="4" xfId="1" applyFont="1" applyFill="1" applyBorder="1"/>
    <xf numFmtId="2" fontId="10" fillId="0" borderId="20" xfId="0" applyNumberFormat="1" applyFont="1" applyBorder="1" applyAlignment="1">
      <alignment vertical="center"/>
    </xf>
    <xf numFmtId="0" fontId="10" fillId="0" borderId="0" xfId="0" applyFont="1"/>
    <xf numFmtId="0" fontId="14" fillId="0" borderId="0" xfId="0" applyFont="1"/>
    <xf numFmtId="0" fontId="14" fillId="0" borderId="0" xfId="0" applyFont="1" applyAlignment="1">
      <alignment horizontal="center"/>
    </xf>
    <xf numFmtId="0" fontId="15" fillId="0" borderId="0" xfId="0" applyFont="1" applyAlignment="1">
      <alignment horizontal="center"/>
    </xf>
    <xf numFmtId="0" fontId="16" fillId="0" borderId="0" xfId="0" applyFont="1" applyAlignment="1">
      <alignment horizontal="center"/>
    </xf>
    <xf numFmtId="0" fontId="14" fillId="0" borderId="30" xfId="0" applyFont="1" applyBorder="1" applyAlignment="1">
      <alignment horizontal="right"/>
    </xf>
    <xf numFmtId="167" fontId="14" fillId="0" borderId="30" xfId="0" applyNumberFormat="1" applyFont="1" applyBorder="1" applyAlignment="1">
      <alignment horizontal="center"/>
    </xf>
    <xf numFmtId="0" fontId="14" fillId="0" borderId="0" xfId="0" applyFont="1" applyAlignment="1">
      <alignment horizontal="right"/>
    </xf>
    <xf numFmtId="167" fontId="14" fillId="0" borderId="0" xfId="0" applyNumberFormat="1" applyFont="1" applyAlignment="1">
      <alignment horizontal="center"/>
    </xf>
    <xf numFmtId="0" fontId="14" fillId="0" borderId="16" xfId="0" applyFont="1" applyBorder="1" applyAlignment="1">
      <alignment horizontal="right"/>
    </xf>
    <xf numFmtId="167" fontId="14" fillId="0" borderId="16" xfId="0" applyNumberFormat="1" applyFont="1" applyBorder="1" applyAlignment="1">
      <alignment horizontal="center"/>
    </xf>
    <xf numFmtId="0" fontId="0" fillId="0" borderId="6" xfId="0" applyBorder="1" applyAlignment="1">
      <alignment horizontal="right"/>
    </xf>
    <xf numFmtId="43" fontId="6" fillId="0" borderId="36" xfId="1" applyFont="1" applyFill="1" applyBorder="1"/>
    <xf numFmtId="165" fontId="6" fillId="0" borderId="35" xfId="1" applyNumberFormat="1" applyFont="1" applyFill="1" applyBorder="1"/>
    <xf numFmtId="0" fontId="0" fillId="0" borderId="1" xfId="0" applyBorder="1"/>
    <xf numFmtId="0" fontId="0" fillId="0" borderId="2" xfId="0" applyBorder="1"/>
    <xf numFmtId="2" fontId="0" fillId="0" borderId="2" xfId="0" applyNumberFormat="1" applyBorder="1"/>
    <xf numFmtId="0" fontId="0" fillId="0" borderId="6" xfId="0" applyBorder="1"/>
    <xf numFmtId="168" fontId="0" fillId="0" borderId="2" xfId="0" applyNumberFormat="1" applyBorder="1"/>
    <xf numFmtId="0" fontId="0" fillId="0" borderId="37" xfId="0" applyBorder="1" applyAlignment="1">
      <alignment horizontal="center"/>
    </xf>
    <xf numFmtId="164" fontId="0" fillId="0" borderId="37" xfId="2" applyNumberFormat="1" applyFont="1" applyBorder="1"/>
    <xf numFmtId="0" fontId="22" fillId="0" borderId="0" xfId="0" applyFont="1" applyAlignment="1">
      <alignment vertical="top" wrapText="1"/>
    </xf>
    <xf numFmtId="167" fontId="14" fillId="0" borderId="30" xfId="0" applyNumberFormat="1" applyFont="1" applyBorder="1" applyAlignment="1">
      <alignment horizontal="center" vertical="center"/>
    </xf>
    <xf numFmtId="167" fontId="14" fillId="0" borderId="0" xfId="0" applyNumberFormat="1" applyFont="1" applyAlignment="1">
      <alignment horizontal="center" vertical="center"/>
    </xf>
    <xf numFmtId="1" fontId="6" fillId="0" borderId="4" xfId="1" applyNumberFormat="1" applyFont="1" applyFill="1" applyBorder="1"/>
    <xf numFmtId="2" fontId="5" fillId="0" borderId="6" xfId="2" applyNumberFormat="1" applyFont="1" applyFill="1" applyBorder="1"/>
    <xf numFmtId="0" fontId="24" fillId="0" borderId="0" xfId="0" applyFont="1" applyAlignment="1">
      <alignment horizontal="left"/>
    </xf>
    <xf numFmtId="22" fontId="24" fillId="0" borderId="0" xfId="0" applyNumberFormat="1" applyFont="1" applyAlignment="1">
      <alignment horizontal="left"/>
    </xf>
    <xf numFmtId="0" fontId="25" fillId="0" borderId="0" xfId="0" applyFont="1"/>
    <xf numFmtId="0" fontId="24" fillId="0" borderId="47" xfId="0" applyFont="1" applyBorder="1" applyAlignment="1">
      <alignment horizontal="left"/>
    </xf>
    <xf numFmtId="0" fontId="24" fillId="0" borderId="48" xfId="0" applyFont="1" applyBorder="1" applyAlignment="1">
      <alignment horizontal="right"/>
    </xf>
    <xf numFmtId="2" fontId="24" fillId="0" borderId="48" xfId="0" applyNumberFormat="1" applyFont="1" applyBorder="1" applyAlignment="1">
      <alignment horizontal="right"/>
    </xf>
    <xf numFmtId="165" fontId="25" fillId="0" borderId="21" xfId="1" applyNumberFormat="1" applyFont="1" applyBorder="1"/>
    <xf numFmtId="43" fontId="25" fillId="0" borderId="21" xfId="0" applyNumberFormat="1" applyFont="1" applyBorder="1"/>
    <xf numFmtId="43" fontId="25" fillId="0" borderId="26" xfId="0" applyNumberFormat="1" applyFont="1" applyBorder="1"/>
    <xf numFmtId="0" fontId="25" fillId="0" borderId="47" xfId="0" applyFont="1" applyBorder="1" applyAlignment="1">
      <alignment horizontal="center" vertical="center"/>
    </xf>
    <xf numFmtId="0" fontId="25" fillId="0" borderId="37" xfId="0" applyFont="1" applyBorder="1" applyAlignment="1">
      <alignment horizontal="center" vertical="center"/>
    </xf>
    <xf numFmtId="0" fontId="25" fillId="0" borderId="48" xfId="0" applyFont="1" applyBorder="1" applyAlignment="1">
      <alignment horizontal="center" vertical="center"/>
    </xf>
    <xf numFmtId="0" fontId="25" fillId="0" borderId="37" xfId="0" applyFont="1" applyBorder="1" applyAlignment="1">
      <alignment horizontal="center"/>
    </xf>
    <xf numFmtId="0" fontId="25" fillId="0" borderId="48" xfId="0" applyFont="1" applyBorder="1" applyAlignment="1">
      <alignment horizontal="center"/>
    </xf>
    <xf numFmtId="0" fontId="25" fillId="0" borderId="13" xfId="0" applyFont="1" applyBorder="1"/>
    <xf numFmtId="0" fontId="0" fillId="0" borderId="0" xfId="0" applyAlignment="1">
      <alignment horizontal="center" vertical="center"/>
    </xf>
    <xf numFmtId="0" fontId="25" fillId="0" borderId="47" xfId="0" applyFont="1" applyBorder="1" applyAlignment="1">
      <alignment horizontal="left"/>
    </xf>
    <xf numFmtId="165" fontId="25" fillId="0" borderId="0" xfId="0" applyNumberFormat="1" applyFont="1"/>
    <xf numFmtId="0" fontId="0" fillId="0" borderId="37" xfId="0" applyBorder="1"/>
    <xf numFmtId="0" fontId="19" fillId="6" borderId="37" xfId="0" applyFont="1" applyFill="1" applyBorder="1"/>
    <xf numFmtId="1" fontId="0" fillId="0" borderId="37" xfId="0" applyNumberFormat="1" applyBorder="1"/>
    <xf numFmtId="170" fontId="0" fillId="0" borderId="37" xfId="0" applyNumberFormat="1" applyBorder="1"/>
    <xf numFmtId="167" fontId="0" fillId="0" borderId="37" xfId="0" applyNumberFormat="1" applyBorder="1"/>
    <xf numFmtId="0" fontId="0" fillId="0" borderId="27" xfId="0" applyBorder="1"/>
    <xf numFmtId="170" fontId="0" fillId="0" borderId="29" xfId="0" applyNumberFormat="1" applyBorder="1"/>
    <xf numFmtId="1" fontId="0" fillId="4" borderId="37" xfId="0" applyNumberFormat="1" applyFill="1" applyBorder="1"/>
    <xf numFmtId="0" fontId="0" fillId="0" borderId="18" xfId="0" applyBorder="1"/>
    <xf numFmtId="0" fontId="0" fillId="0" borderId="24" xfId="0" applyBorder="1"/>
    <xf numFmtId="0" fontId="0" fillId="0" borderId="25" xfId="0" applyBorder="1"/>
    <xf numFmtId="0" fontId="0" fillId="0" borderId="49" xfId="0" applyBorder="1" applyAlignment="1">
      <alignment horizontal="center" wrapText="1"/>
    </xf>
    <xf numFmtId="0" fontId="0" fillId="0" borderId="58" xfId="0" applyBorder="1" applyAlignment="1">
      <alignment horizontal="center" wrapText="1"/>
    </xf>
    <xf numFmtId="0" fontId="0" fillId="0" borderId="52" xfId="0" applyBorder="1" applyAlignment="1">
      <alignment horizontal="center" wrapText="1"/>
    </xf>
    <xf numFmtId="0" fontId="0" fillId="0" borderId="50" xfId="0" applyBorder="1" applyAlignment="1">
      <alignment horizontal="center" wrapText="1"/>
    </xf>
    <xf numFmtId="0" fontId="0" fillId="0" borderId="59" xfId="0" applyBorder="1" applyAlignment="1">
      <alignment horizontal="center" wrapText="1"/>
    </xf>
    <xf numFmtId="0" fontId="0" fillId="0" borderId="8" xfId="0" applyBorder="1" applyAlignment="1">
      <alignment horizontal="center" wrapText="1"/>
    </xf>
    <xf numFmtId="0" fontId="0" fillId="0" borderId="60" xfId="0" applyBorder="1" applyAlignment="1">
      <alignment horizontal="center"/>
    </xf>
    <xf numFmtId="0" fontId="0" fillId="0" borderId="15" xfId="0" applyBorder="1" applyAlignment="1">
      <alignment horizontal="center"/>
    </xf>
    <xf numFmtId="0" fontId="0" fillId="0" borderId="6" xfId="0" applyBorder="1" applyAlignment="1">
      <alignment horizontal="center"/>
    </xf>
    <xf numFmtId="0" fontId="0" fillId="0" borderId="41" xfId="0" applyBorder="1" applyAlignment="1">
      <alignment horizontal="center"/>
    </xf>
    <xf numFmtId="0" fontId="0" fillId="0" borderId="16" xfId="0" applyBorder="1" applyAlignment="1">
      <alignment horizontal="center"/>
    </xf>
    <xf numFmtId="0" fontId="0" fillId="6" borderId="60" xfId="0" applyFill="1" applyBorder="1" applyAlignment="1">
      <alignment horizontal="center"/>
    </xf>
    <xf numFmtId="0" fontId="0" fillId="6" borderId="15" xfId="0" applyFill="1" applyBorder="1" applyAlignment="1">
      <alignment horizontal="center"/>
    </xf>
    <xf numFmtId="0" fontId="0" fillId="6" borderId="6" xfId="0" applyFill="1" applyBorder="1" applyAlignment="1">
      <alignment horizontal="center"/>
    </xf>
    <xf numFmtId="0" fontId="0" fillId="6" borderId="41" xfId="0" applyFill="1" applyBorder="1" applyAlignment="1">
      <alignment horizontal="center"/>
    </xf>
    <xf numFmtId="0" fontId="0" fillId="0" borderId="61" xfId="0" applyBorder="1" applyAlignment="1">
      <alignment horizontal="center"/>
    </xf>
    <xf numFmtId="0" fontId="0" fillId="0" borderId="14" xfId="0" applyBorder="1" applyAlignment="1">
      <alignment horizontal="center"/>
    </xf>
    <xf numFmtId="0" fontId="0" fillId="0" borderId="1" xfId="0" applyBorder="1" applyAlignment="1">
      <alignment horizontal="center"/>
    </xf>
    <xf numFmtId="0" fontId="0" fillId="0" borderId="62" xfId="0" applyBorder="1" applyAlignment="1">
      <alignment horizontal="center"/>
    </xf>
    <xf numFmtId="0" fontId="0" fillId="0" borderId="30" xfId="0" applyBorder="1" applyAlignment="1">
      <alignment horizontal="center"/>
    </xf>
    <xf numFmtId="0" fontId="0" fillId="6" borderId="61" xfId="0" applyFill="1" applyBorder="1" applyAlignment="1">
      <alignment horizontal="center"/>
    </xf>
    <xf numFmtId="0" fontId="0" fillId="6" borderId="14" xfId="0" applyFill="1" applyBorder="1" applyAlignment="1">
      <alignment horizontal="center"/>
    </xf>
    <xf numFmtId="0" fontId="0" fillId="6" borderId="1" xfId="0" applyFill="1" applyBorder="1" applyAlignment="1">
      <alignment horizontal="center"/>
    </xf>
    <xf numFmtId="0" fontId="0" fillId="6" borderId="62" xfId="0" applyFill="1" applyBorder="1" applyAlignment="1">
      <alignment horizontal="center"/>
    </xf>
    <xf numFmtId="0" fontId="0" fillId="0" borderId="45" xfId="0" applyBorder="1" applyAlignment="1">
      <alignment horizontal="center"/>
    </xf>
    <xf numFmtId="0" fontId="0" fillId="0" borderId="56" xfId="0" applyBorder="1" applyAlignment="1">
      <alignment horizontal="center"/>
    </xf>
    <xf numFmtId="0" fontId="0" fillId="0" borderId="51" xfId="0" applyBorder="1" applyAlignment="1">
      <alignment horizontal="center"/>
    </xf>
    <xf numFmtId="0" fontId="0" fillId="0" borderId="46" xfId="0" applyBorder="1" applyAlignment="1">
      <alignment horizontal="center"/>
    </xf>
    <xf numFmtId="0" fontId="0" fillId="0" borderId="57" xfId="0" applyBorder="1" applyAlignment="1">
      <alignment horizontal="center"/>
    </xf>
    <xf numFmtId="0" fontId="0" fillId="0" borderId="8" xfId="0" applyBorder="1" applyAlignment="1">
      <alignment horizontal="center"/>
    </xf>
    <xf numFmtId="0" fontId="0" fillId="0" borderId="49" xfId="0" applyBorder="1" applyAlignment="1">
      <alignment horizontal="center"/>
    </xf>
    <xf numFmtId="0" fontId="0" fillId="0" borderId="58" xfId="0" applyBorder="1" applyAlignment="1">
      <alignment horizontal="center"/>
    </xf>
    <xf numFmtId="0" fontId="0" fillId="0" borderId="52" xfId="0" applyBorder="1" applyAlignment="1">
      <alignment horizontal="center"/>
    </xf>
    <xf numFmtId="0" fontId="0" fillId="0" borderId="50" xfId="0" applyBorder="1" applyAlignment="1">
      <alignment horizontal="center"/>
    </xf>
    <xf numFmtId="0" fontId="0" fillId="0" borderId="59" xfId="0" applyBorder="1" applyAlignment="1">
      <alignment horizontal="center"/>
    </xf>
    <xf numFmtId="9" fontId="0" fillId="0" borderId="25" xfId="0" applyNumberFormat="1" applyBorder="1" applyAlignment="1">
      <alignment horizontal="left"/>
    </xf>
    <xf numFmtId="0" fontId="0" fillId="0" borderId="63" xfId="0" applyBorder="1" applyAlignment="1">
      <alignment horizontal="center"/>
    </xf>
    <xf numFmtId="0" fontId="0" fillId="0" borderId="2" xfId="0" applyBorder="1" applyAlignment="1">
      <alignment horizontal="center"/>
    </xf>
    <xf numFmtId="0" fontId="0" fillId="0" borderId="42" xfId="0" applyBorder="1" applyAlignment="1">
      <alignment horizontal="center"/>
    </xf>
    <xf numFmtId="0" fontId="0" fillId="0" borderId="64" xfId="0" applyBorder="1" applyAlignment="1">
      <alignment horizontal="center"/>
    </xf>
    <xf numFmtId="0" fontId="0" fillId="0" borderId="65" xfId="0" applyBorder="1" applyAlignment="1">
      <alignment horizontal="center"/>
    </xf>
    <xf numFmtId="0" fontId="0" fillId="0" borderId="66" xfId="0" applyBorder="1" applyAlignment="1">
      <alignment horizontal="center"/>
    </xf>
    <xf numFmtId="0" fontId="0" fillId="0" borderId="47" xfId="0" applyBorder="1"/>
    <xf numFmtId="0" fontId="19" fillId="6" borderId="48" xfId="0" applyFont="1" applyFill="1" applyBorder="1"/>
    <xf numFmtId="20" fontId="0" fillId="0" borderId="47" xfId="0" applyNumberFormat="1" applyBorder="1"/>
    <xf numFmtId="170" fontId="0" fillId="0" borderId="48" xfId="0" applyNumberFormat="1" applyBorder="1"/>
    <xf numFmtId="0" fontId="0" fillId="0" borderId="20" xfId="0" applyBorder="1"/>
    <xf numFmtId="170" fontId="0" fillId="0" borderId="0" xfId="0" applyNumberFormat="1"/>
    <xf numFmtId="170" fontId="0" fillId="0" borderId="21" xfId="0" applyNumberFormat="1" applyBorder="1"/>
    <xf numFmtId="0" fontId="0" fillId="0" borderId="21" xfId="0" applyBorder="1"/>
    <xf numFmtId="170" fontId="28" fillId="0" borderId="0" xfId="0" applyNumberFormat="1" applyFont="1"/>
    <xf numFmtId="0" fontId="28" fillId="0" borderId="0" xfId="0" applyFont="1"/>
    <xf numFmtId="0" fontId="0" fillId="0" borderId="26" xfId="0" applyBorder="1"/>
    <xf numFmtId="0" fontId="19" fillId="0" borderId="0" xfId="0" applyFont="1" applyAlignment="1">
      <alignment horizontal="center"/>
    </xf>
    <xf numFmtId="0" fontId="19" fillId="0" borderId="0" xfId="0" applyFont="1"/>
    <xf numFmtId="0" fontId="19" fillId="0" borderId="20" xfId="0" applyFont="1" applyBorder="1"/>
    <xf numFmtId="0" fontId="0" fillId="8" borderId="0" xfId="0" applyFill="1"/>
    <xf numFmtId="0" fontId="0" fillId="0" borderId="0" xfId="0" applyAlignment="1">
      <alignment horizontal="center" wrapText="1"/>
    </xf>
    <xf numFmtId="0" fontId="0" fillId="7" borderId="0" xfId="0" applyFill="1"/>
    <xf numFmtId="167" fontId="10" fillId="0" borderId="0" xfId="0" applyNumberFormat="1" applyFont="1" applyAlignment="1">
      <alignment horizontal="center"/>
    </xf>
    <xf numFmtId="0" fontId="0" fillId="0" borderId="49" xfId="0" applyBorder="1" applyAlignment="1">
      <alignment horizontal="center" vertical="center"/>
    </xf>
    <xf numFmtId="0" fontId="0" fillId="0" borderId="52" xfId="0" applyBorder="1" applyAlignment="1">
      <alignment horizontal="center" vertical="center"/>
    </xf>
    <xf numFmtId="0" fontId="0" fillId="0" borderId="50" xfId="0" applyBorder="1" applyAlignment="1">
      <alignment horizontal="center" vertical="center"/>
    </xf>
    <xf numFmtId="2" fontId="0" fillId="0" borderId="49" xfId="0" applyNumberFormat="1" applyBorder="1" applyAlignment="1">
      <alignment horizontal="center" vertical="center"/>
    </xf>
    <xf numFmtId="0" fontId="25" fillId="8" borderId="0" xfId="0" applyFont="1" applyFill="1"/>
    <xf numFmtId="0" fontId="25" fillId="9" borderId="47" xfId="0" applyFont="1" applyFill="1" applyBorder="1" applyAlignment="1">
      <alignment horizontal="left"/>
    </xf>
    <xf numFmtId="0" fontId="25" fillId="9" borderId="37" xfId="0" applyFont="1" applyFill="1" applyBorder="1" applyAlignment="1">
      <alignment horizontal="center"/>
    </xf>
    <xf numFmtId="0" fontId="25" fillId="9" borderId="48" xfId="0" applyFont="1" applyFill="1" applyBorder="1" applyAlignment="1">
      <alignment horizontal="center"/>
    </xf>
    <xf numFmtId="0" fontId="25" fillId="9" borderId="49" xfId="0" applyFont="1" applyFill="1" applyBorder="1" applyAlignment="1">
      <alignment horizontal="left"/>
    </xf>
    <xf numFmtId="0" fontId="25" fillId="9" borderId="52" xfId="0" applyFont="1" applyFill="1" applyBorder="1" applyAlignment="1">
      <alignment horizontal="center"/>
    </xf>
    <xf numFmtId="0" fontId="25" fillId="9" borderId="50" xfId="0" applyFont="1" applyFill="1" applyBorder="1" applyAlignment="1">
      <alignment horizontal="center"/>
    </xf>
    <xf numFmtId="0" fontId="29" fillId="10" borderId="20" xfId="0" applyFont="1" applyFill="1" applyBorder="1" applyAlignment="1">
      <alignment vertical="center" wrapText="1"/>
    </xf>
    <xf numFmtId="0" fontId="29" fillId="10" borderId="61" xfId="0" applyFont="1" applyFill="1" applyBorder="1" applyAlignment="1">
      <alignment vertical="center" wrapText="1"/>
    </xf>
    <xf numFmtId="0" fontId="29" fillId="10" borderId="49" xfId="0" applyFont="1" applyFill="1" applyBorder="1" applyAlignment="1">
      <alignment vertical="center" wrapText="1"/>
    </xf>
    <xf numFmtId="0" fontId="29" fillId="10" borderId="47" xfId="0" applyFont="1" applyFill="1" applyBorder="1" applyAlignment="1">
      <alignment vertical="center" wrapText="1"/>
    </xf>
    <xf numFmtId="0" fontId="29" fillId="10" borderId="0" xfId="0" applyFont="1" applyFill="1" applyAlignment="1">
      <alignment horizontal="center" vertical="center" wrapText="1"/>
    </xf>
    <xf numFmtId="0" fontId="29" fillId="10" borderId="21" xfId="0" applyFont="1" applyFill="1" applyBorder="1" applyAlignment="1">
      <alignment horizontal="center" vertical="center" wrapText="1"/>
    </xf>
    <xf numFmtId="165" fontId="29" fillId="10" borderId="30" xfId="1" applyNumberFormat="1" applyFont="1" applyFill="1" applyBorder="1" applyAlignment="1">
      <alignment horizontal="center" vertical="center" wrapText="1"/>
    </xf>
    <xf numFmtId="165" fontId="29" fillId="10" borderId="14" xfId="1" applyNumberFormat="1" applyFont="1" applyFill="1" applyBorder="1" applyAlignment="1">
      <alignment horizontal="center" vertical="center" wrapText="1"/>
    </xf>
    <xf numFmtId="165" fontId="29" fillId="10" borderId="7" xfId="1" applyNumberFormat="1" applyFont="1" applyFill="1" applyBorder="1" applyAlignment="1">
      <alignment horizontal="center" vertical="center" wrapText="1"/>
    </xf>
    <xf numFmtId="165" fontId="29" fillId="10" borderId="67" xfId="1" applyNumberFormat="1" applyFont="1" applyFill="1" applyBorder="1" applyAlignment="1">
      <alignment horizontal="center" vertical="center" wrapText="1"/>
    </xf>
    <xf numFmtId="165" fontId="29" fillId="10" borderId="54" xfId="1" applyNumberFormat="1" applyFont="1" applyFill="1" applyBorder="1" applyAlignment="1">
      <alignment horizontal="center" vertical="center" wrapText="1"/>
    </xf>
    <xf numFmtId="165" fontId="29" fillId="10" borderId="55" xfId="1" applyNumberFormat="1" applyFont="1" applyFill="1" applyBorder="1" applyAlignment="1">
      <alignment horizontal="center" vertical="center" wrapText="1"/>
    </xf>
    <xf numFmtId="165" fontId="29" fillId="10" borderId="53" xfId="1" applyNumberFormat="1" applyFont="1" applyFill="1" applyBorder="1" applyAlignment="1">
      <alignment horizontal="center" vertical="center" wrapText="1"/>
    </xf>
    <xf numFmtId="165" fontId="29" fillId="10" borderId="69" xfId="1" applyNumberFormat="1" applyFont="1" applyFill="1" applyBorder="1" applyAlignment="1">
      <alignment horizontal="center" vertical="center" wrapText="1"/>
    </xf>
    <xf numFmtId="165" fontId="29" fillId="10" borderId="59" xfId="1" applyNumberFormat="1" applyFont="1" applyFill="1" applyBorder="1" applyAlignment="1">
      <alignment horizontal="center" vertical="center" wrapText="1"/>
    </xf>
    <xf numFmtId="165" fontId="29" fillId="10" borderId="58" xfId="1" applyNumberFormat="1" applyFont="1" applyFill="1" applyBorder="1" applyAlignment="1">
      <alignment horizontal="center" vertical="center" wrapText="1"/>
    </xf>
    <xf numFmtId="165" fontId="29" fillId="10" borderId="72" xfId="1" applyNumberFormat="1" applyFont="1" applyFill="1" applyBorder="1" applyAlignment="1">
      <alignment horizontal="center" vertical="center" wrapText="1"/>
    </xf>
    <xf numFmtId="165" fontId="29" fillId="10" borderId="68" xfId="1" applyNumberFormat="1" applyFont="1" applyFill="1" applyBorder="1" applyAlignment="1">
      <alignment horizontal="center" vertical="center" wrapText="1"/>
    </xf>
    <xf numFmtId="165" fontId="0" fillId="0" borderId="0" xfId="0" applyNumberFormat="1"/>
    <xf numFmtId="165" fontId="0" fillId="0" borderId="21" xfId="1" applyNumberFormat="1" applyFont="1" applyBorder="1" applyAlignment="1">
      <alignment horizontal="right" vertical="center"/>
    </xf>
    <xf numFmtId="43" fontId="0" fillId="0" borderId="26" xfId="0" applyNumberFormat="1" applyBorder="1"/>
    <xf numFmtId="0" fontId="29" fillId="10" borderId="13" xfId="0" applyFont="1" applyFill="1" applyBorder="1" applyAlignment="1">
      <alignment horizontal="center" vertical="center" wrapText="1"/>
    </xf>
    <xf numFmtId="0" fontId="29" fillId="10" borderId="8" xfId="0" applyFont="1" applyFill="1" applyBorder="1" applyAlignment="1">
      <alignment horizontal="center" vertical="center" wrapText="1"/>
    </xf>
    <xf numFmtId="9" fontId="6" fillId="0" borderId="5" xfId="0" applyNumberFormat="1" applyFont="1" applyBorder="1"/>
    <xf numFmtId="164" fontId="5" fillId="0" borderId="2" xfId="2" applyNumberFormat="1" applyFont="1" applyFill="1" applyBorder="1"/>
    <xf numFmtId="44" fontId="5" fillId="0" borderId="2" xfId="2" applyFont="1" applyFill="1" applyBorder="1"/>
    <xf numFmtId="164" fontId="6" fillId="0" borderId="2" xfId="2" applyNumberFormat="1" applyFont="1" applyFill="1" applyBorder="1" applyAlignment="1">
      <alignment horizontal="center" vertical="center"/>
    </xf>
    <xf numFmtId="9" fontId="6" fillId="0" borderId="4" xfId="3" applyFont="1" applyFill="1" applyBorder="1" applyAlignment="1">
      <alignment horizontal="right"/>
    </xf>
    <xf numFmtId="10" fontId="6" fillId="0" borderId="38" xfId="0" applyNumberFormat="1" applyFont="1" applyBorder="1"/>
    <xf numFmtId="171" fontId="5" fillId="0" borderId="6" xfId="1" applyNumberFormat="1" applyFont="1" applyFill="1" applyBorder="1"/>
    <xf numFmtId="11" fontId="5" fillId="0" borderId="2" xfId="1" applyNumberFormat="1" applyFont="1" applyFill="1" applyBorder="1"/>
    <xf numFmtId="0" fontId="0" fillId="0" borderId="0" xfId="0" applyAlignment="1">
      <alignment horizontal="center"/>
    </xf>
    <xf numFmtId="0" fontId="0" fillId="0" borderId="25" xfId="0" applyBorder="1" applyAlignment="1">
      <alignment horizontal="center"/>
    </xf>
    <xf numFmtId="1" fontId="0" fillId="0" borderId="15" xfId="0" applyNumberFormat="1" applyBorder="1" applyAlignment="1">
      <alignment horizontal="center"/>
    </xf>
    <xf numFmtId="167" fontId="0" fillId="0" borderId="15" xfId="0" applyNumberFormat="1" applyBorder="1" applyAlignment="1">
      <alignment horizontal="center"/>
    </xf>
    <xf numFmtId="1" fontId="0" fillId="0" borderId="14" xfId="0" applyNumberFormat="1" applyBorder="1" applyAlignment="1">
      <alignment horizontal="center"/>
    </xf>
    <xf numFmtId="167" fontId="0" fillId="0" borderId="14" xfId="0" applyNumberFormat="1" applyBorder="1" applyAlignment="1">
      <alignment horizontal="center"/>
    </xf>
    <xf numFmtId="1" fontId="0" fillId="0" borderId="56" xfId="0" applyNumberFormat="1" applyBorder="1" applyAlignment="1">
      <alignment horizontal="center"/>
    </xf>
    <xf numFmtId="167" fontId="0" fillId="0" borderId="56" xfId="0" applyNumberFormat="1" applyBorder="1" applyAlignment="1">
      <alignment horizontal="center"/>
    </xf>
    <xf numFmtId="1" fontId="0" fillId="0" borderId="58" xfId="0" applyNumberFormat="1" applyBorder="1" applyAlignment="1">
      <alignment horizontal="center"/>
    </xf>
    <xf numFmtId="167" fontId="0" fillId="0" borderId="58" xfId="0" applyNumberFormat="1" applyBorder="1" applyAlignment="1">
      <alignment horizontal="center"/>
    </xf>
    <xf numFmtId="1" fontId="0" fillId="0" borderId="25" xfId="0" applyNumberFormat="1" applyBorder="1" applyAlignment="1">
      <alignment horizontal="center"/>
    </xf>
    <xf numFmtId="167" fontId="0" fillId="0" borderId="25" xfId="0" applyNumberFormat="1" applyBorder="1" applyAlignment="1">
      <alignment horizontal="center"/>
    </xf>
    <xf numFmtId="167" fontId="0" fillId="0" borderId="0" xfId="0" applyNumberFormat="1"/>
    <xf numFmtId="1" fontId="0" fillId="0" borderId="0" xfId="0" applyNumberFormat="1" applyAlignment="1">
      <alignment horizontal="center"/>
    </xf>
    <xf numFmtId="167" fontId="0" fillId="0" borderId="0" xfId="0" applyNumberFormat="1" applyAlignment="1">
      <alignment horizontal="center"/>
    </xf>
    <xf numFmtId="1" fontId="0" fillId="0" borderId="0" xfId="0" applyNumberFormat="1"/>
    <xf numFmtId="1" fontId="19" fillId="0" borderId="0" xfId="0" applyNumberFormat="1" applyFont="1"/>
    <xf numFmtId="2" fontId="10" fillId="0" borderId="76" xfId="0" applyNumberFormat="1" applyFont="1" applyBorder="1" applyAlignment="1">
      <alignment vertical="center"/>
    </xf>
    <xf numFmtId="0" fontId="10" fillId="0" borderId="73" xfId="0" applyFont="1" applyBorder="1"/>
    <xf numFmtId="167" fontId="10" fillId="0" borderId="73" xfId="0" applyNumberFormat="1" applyFont="1" applyBorder="1" applyAlignment="1">
      <alignment horizontal="center"/>
    </xf>
    <xf numFmtId="164" fontId="5" fillId="0" borderId="1" xfId="2" applyNumberFormat="1" applyFont="1" applyFill="1" applyBorder="1" applyAlignment="1">
      <alignment horizontal="right"/>
    </xf>
    <xf numFmtId="164" fontId="5" fillId="0" borderId="2" xfId="2" applyNumberFormat="1" applyFont="1" applyFill="1" applyBorder="1" applyAlignment="1">
      <alignment horizontal="right"/>
    </xf>
    <xf numFmtId="166" fontId="5" fillId="0" borderId="2" xfId="1" applyNumberFormat="1" applyFont="1" applyFill="1" applyBorder="1"/>
    <xf numFmtId="166" fontId="5" fillId="0" borderId="6" xfId="1" applyNumberFormat="1" applyFont="1" applyFill="1" applyBorder="1"/>
    <xf numFmtId="164" fontId="0" fillId="0" borderId="37" xfId="2" applyNumberFormat="1" applyFont="1" applyFill="1" applyBorder="1"/>
    <xf numFmtId="164" fontId="5" fillId="0" borderId="3" xfId="2" applyNumberFormat="1" applyFont="1" applyFill="1" applyBorder="1"/>
    <xf numFmtId="1" fontId="6" fillId="0" borderId="2" xfId="1" applyNumberFormat="1" applyFont="1" applyFill="1" applyBorder="1"/>
    <xf numFmtId="8" fontId="0" fillId="0" borderId="0" xfId="0" applyNumberFormat="1"/>
    <xf numFmtId="0" fontId="0" fillId="0" borderId="0" xfId="0" applyAlignment="1">
      <alignment wrapText="1"/>
    </xf>
    <xf numFmtId="0" fontId="10" fillId="0" borderId="37" xfId="0" applyFont="1" applyBorder="1" applyAlignment="1">
      <alignment horizontal="center" vertical="center"/>
    </xf>
    <xf numFmtId="0" fontId="10" fillId="0" borderId="47" xfId="0" applyFont="1" applyBorder="1" applyAlignment="1">
      <alignment horizontal="center" vertical="center"/>
    </xf>
    <xf numFmtId="0" fontId="19" fillId="0" borderId="0" xfId="0" applyFont="1" applyAlignment="1">
      <alignment wrapText="1"/>
    </xf>
    <xf numFmtId="0" fontId="10" fillId="0" borderId="61" xfId="0" applyFont="1" applyBorder="1" applyAlignment="1">
      <alignment horizontal="center" vertical="center"/>
    </xf>
    <xf numFmtId="0" fontId="10" fillId="0" borderId="1" xfId="0" applyFont="1" applyBorder="1" applyAlignment="1">
      <alignment horizontal="center" vertical="center"/>
    </xf>
    <xf numFmtId="164" fontId="10" fillId="0" borderId="37" xfId="0" applyNumberFormat="1" applyFont="1" applyBorder="1"/>
    <xf numFmtId="0" fontId="10" fillId="0" borderId="60" xfId="0" applyFont="1" applyBorder="1" applyAlignment="1">
      <alignment horizontal="center" vertical="center"/>
    </xf>
    <xf numFmtId="0" fontId="10" fillId="0" borderId="6" xfId="0" applyFont="1" applyBorder="1" applyAlignment="1">
      <alignment horizontal="center" vertical="center"/>
    </xf>
    <xf numFmtId="164" fontId="10" fillId="0" borderId="6" xfId="0" applyNumberFormat="1" applyFont="1" applyBorder="1"/>
    <xf numFmtId="164" fontId="10" fillId="0" borderId="9" xfId="0" applyNumberFormat="1" applyFont="1" applyBorder="1"/>
    <xf numFmtId="164" fontId="33" fillId="0" borderId="33" xfId="0" applyNumberFormat="1" applyFont="1" applyBorder="1"/>
    <xf numFmtId="165" fontId="34" fillId="11" borderId="74" xfId="0" applyNumberFormat="1" applyFont="1" applyFill="1" applyBorder="1" applyAlignment="1">
      <alignment horizontal="center" vertical="center"/>
    </xf>
    <xf numFmtId="165" fontId="34" fillId="11" borderId="29" xfId="0" applyNumberFormat="1" applyFont="1" applyFill="1" applyBorder="1" applyAlignment="1">
      <alignment vertical="center"/>
    </xf>
    <xf numFmtId="164" fontId="0" fillId="0" borderId="0" xfId="0" applyNumberFormat="1"/>
    <xf numFmtId="43" fontId="0" fillId="0" borderId="0" xfId="0" applyNumberFormat="1"/>
    <xf numFmtId="167" fontId="6" fillId="0" borderId="2" xfId="1" applyNumberFormat="1" applyFont="1" applyFill="1" applyBorder="1"/>
    <xf numFmtId="1" fontId="5" fillId="0" borderId="3" xfId="2" applyNumberFormat="1" applyFont="1" applyFill="1" applyBorder="1"/>
    <xf numFmtId="165" fontId="5" fillId="0" borderId="1" xfId="1" applyNumberFormat="1" applyFont="1" applyFill="1" applyBorder="1"/>
    <xf numFmtId="0" fontId="3" fillId="2" borderId="0" xfId="0" applyFont="1" applyFill="1"/>
    <xf numFmtId="0" fontId="4" fillId="2" borderId="80" xfId="0" applyFont="1" applyFill="1" applyBorder="1"/>
    <xf numFmtId="0" fontId="5" fillId="2" borderId="22" xfId="0" applyFont="1" applyFill="1" applyBorder="1"/>
    <xf numFmtId="0" fontId="4" fillId="0" borderId="80" xfId="0" applyFont="1" applyBorder="1"/>
    <xf numFmtId="0" fontId="5" fillId="0" borderId="20" xfId="0" applyFont="1" applyBorder="1"/>
    <xf numFmtId="0" fontId="6" fillId="0" borderId="20" xfId="0" applyFont="1" applyBorder="1"/>
    <xf numFmtId="0" fontId="5" fillId="0" borderId="76" xfId="0" applyFont="1" applyBorder="1"/>
    <xf numFmtId="0" fontId="5" fillId="2" borderId="20" xfId="0" applyFont="1" applyFill="1" applyBorder="1"/>
    <xf numFmtId="0" fontId="5" fillId="2" borderId="76" xfId="0" applyFont="1" applyFill="1" applyBorder="1"/>
    <xf numFmtId="0" fontId="4" fillId="2" borderId="20" xfId="0" applyFont="1" applyFill="1" applyBorder="1"/>
    <xf numFmtId="0" fontId="5" fillId="2" borderId="21" xfId="0" applyFont="1" applyFill="1" applyBorder="1" applyAlignment="1">
      <alignment horizontal="center" vertical="center"/>
    </xf>
    <xf numFmtId="0" fontId="4" fillId="2" borderId="82" xfId="0" applyFont="1" applyFill="1" applyBorder="1"/>
    <xf numFmtId="0" fontId="5" fillId="2" borderId="67" xfId="0" applyFont="1" applyFill="1" applyBorder="1" applyAlignment="1">
      <alignment horizontal="center" vertical="center"/>
    </xf>
    <xf numFmtId="0" fontId="6" fillId="3" borderId="20" xfId="0" applyFont="1" applyFill="1" applyBorder="1"/>
    <xf numFmtId="0" fontId="6" fillId="3" borderId="84" xfId="0" applyFont="1" applyFill="1" applyBorder="1"/>
    <xf numFmtId="0" fontId="6" fillId="0" borderId="85" xfId="0" applyFont="1" applyBorder="1" applyAlignment="1">
      <alignment horizontal="center" vertical="center"/>
    </xf>
    <xf numFmtId="0" fontId="6" fillId="3" borderId="86" xfId="0" applyFont="1" applyFill="1" applyBorder="1"/>
    <xf numFmtId="0" fontId="6" fillId="3" borderId="22" xfId="0" applyFont="1" applyFill="1" applyBorder="1"/>
    <xf numFmtId="0" fontId="8" fillId="2" borderId="20" xfId="0" applyFont="1" applyFill="1" applyBorder="1"/>
    <xf numFmtId="0" fontId="5" fillId="2" borderId="89" xfId="0" applyFont="1" applyFill="1" applyBorder="1" applyAlignment="1">
      <alignment horizontal="center" vertical="center" wrapText="1"/>
    </xf>
    <xf numFmtId="0" fontId="4" fillId="2" borderId="90" xfId="0" applyFont="1" applyFill="1" applyBorder="1"/>
    <xf numFmtId="0" fontId="5" fillId="2" borderId="21" xfId="0" applyFont="1" applyFill="1" applyBorder="1" applyAlignment="1">
      <alignment horizontal="center" vertical="center" wrapText="1"/>
    </xf>
    <xf numFmtId="0" fontId="5" fillId="2" borderId="67" xfId="0" applyFont="1" applyFill="1" applyBorder="1" applyAlignment="1">
      <alignment horizontal="center"/>
    </xf>
    <xf numFmtId="0" fontId="5" fillId="2" borderId="21" xfId="0" applyFont="1" applyFill="1" applyBorder="1" applyAlignment="1">
      <alignment horizontal="center"/>
    </xf>
    <xf numFmtId="0" fontId="5" fillId="2" borderId="67" xfId="0" applyFont="1" applyFill="1" applyBorder="1" applyAlignment="1">
      <alignment vertical="center" wrapText="1"/>
    </xf>
    <xf numFmtId="0" fontId="5" fillId="2" borderId="21" xfId="0" applyFont="1" applyFill="1" applyBorder="1" applyAlignment="1">
      <alignment vertical="center" wrapText="1"/>
    </xf>
    <xf numFmtId="0" fontId="5" fillId="2" borderId="23" xfId="0" applyFont="1" applyFill="1" applyBorder="1" applyAlignment="1">
      <alignment vertical="center" wrapText="1"/>
    </xf>
    <xf numFmtId="0" fontId="5" fillId="2" borderId="67" xfId="0" applyFont="1" applyFill="1" applyBorder="1" applyAlignment="1">
      <alignment horizontal="center" vertical="center" wrapText="1"/>
    </xf>
    <xf numFmtId="0" fontId="5" fillId="2" borderId="20" xfId="0" applyFont="1" applyFill="1" applyBorder="1" applyAlignment="1">
      <alignment horizontal="left"/>
    </xf>
    <xf numFmtId="0" fontId="5" fillId="2" borderId="42" xfId="0" applyFont="1" applyFill="1" applyBorder="1" applyAlignment="1">
      <alignment horizontal="left"/>
    </xf>
    <xf numFmtId="0" fontId="5" fillId="2" borderId="22" xfId="0" applyFont="1" applyFill="1" applyBorder="1" applyAlignment="1">
      <alignment horizontal="left"/>
    </xf>
    <xf numFmtId="0" fontId="5" fillId="2" borderId="41" xfId="0" applyFont="1" applyFill="1" applyBorder="1" applyAlignment="1">
      <alignment horizontal="left"/>
    </xf>
    <xf numFmtId="0" fontId="4" fillId="2" borderId="20" xfId="0" applyFont="1" applyFill="1" applyBorder="1" applyAlignment="1">
      <alignment horizontal="left"/>
    </xf>
    <xf numFmtId="0" fontId="20" fillId="2" borderId="20" xfId="0" applyFont="1" applyFill="1" applyBorder="1"/>
    <xf numFmtId="0" fontId="5" fillId="2" borderId="63" xfId="0" applyFont="1" applyFill="1" applyBorder="1" applyAlignment="1">
      <alignment horizontal="left"/>
    </xf>
    <xf numFmtId="0" fontId="5" fillId="2" borderId="60" xfId="0" applyFont="1" applyFill="1" applyBorder="1" applyAlignment="1">
      <alignment horizontal="left"/>
    </xf>
    <xf numFmtId="0" fontId="5" fillId="2" borderId="24" xfId="0" applyFont="1" applyFill="1" applyBorder="1" applyAlignment="1">
      <alignment horizontal="left"/>
    </xf>
    <xf numFmtId="0" fontId="0" fillId="0" borderId="65" xfId="0" applyBorder="1"/>
    <xf numFmtId="44" fontId="25" fillId="0" borderId="0" xfId="0" applyNumberFormat="1" applyFont="1"/>
    <xf numFmtId="164" fontId="33" fillId="0" borderId="34" xfId="0" applyNumberFormat="1" applyFont="1" applyBorder="1"/>
    <xf numFmtId="0" fontId="0" fillId="0" borderId="17" xfId="0" applyBorder="1"/>
    <xf numFmtId="0" fontId="19" fillId="0" borderId="57" xfId="0" applyFont="1" applyBorder="1" applyAlignment="1">
      <alignment horizontal="center"/>
    </xf>
    <xf numFmtId="0" fontId="17" fillId="0" borderId="30" xfId="0" applyFont="1" applyBorder="1" applyAlignment="1">
      <alignment horizontal="center" vertical="center"/>
    </xf>
    <xf numFmtId="0" fontId="2" fillId="0" borderId="87" xfId="4" applyFill="1" applyBorder="1" applyAlignment="1">
      <alignment horizontal="center" vertical="center"/>
    </xf>
    <xf numFmtId="0" fontId="37" fillId="0" borderId="0" xfId="0" applyFont="1"/>
    <xf numFmtId="170" fontId="5" fillId="2" borderId="2" xfId="0" applyNumberFormat="1" applyFont="1" applyFill="1" applyBorder="1" applyAlignment="1">
      <alignment horizontal="right"/>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vertical="top" wrapText="1"/>
    </xf>
    <xf numFmtId="167" fontId="14" fillId="0" borderId="16" xfId="0" applyNumberFormat="1" applyFont="1" applyBorder="1" applyAlignment="1">
      <alignment horizontal="center" vertical="center"/>
    </xf>
    <xf numFmtId="0" fontId="38" fillId="0" borderId="20" xfId="0" applyFont="1" applyBorder="1" applyAlignment="1">
      <alignment horizontal="center" vertical="center"/>
    </xf>
    <xf numFmtId="0" fontId="38" fillId="0" borderId="0" xfId="0" applyFont="1" applyAlignment="1">
      <alignment horizontal="center" vertical="center"/>
    </xf>
    <xf numFmtId="165" fontId="38" fillId="0" borderId="0" xfId="1" applyNumberFormat="1" applyFont="1" applyBorder="1"/>
    <xf numFmtId="44" fontId="38" fillId="0" borderId="21" xfId="0" applyNumberFormat="1" applyFont="1" applyBorder="1"/>
    <xf numFmtId="44" fontId="39" fillId="0" borderId="32" xfId="0" applyNumberFormat="1" applyFont="1" applyBorder="1"/>
    <xf numFmtId="167" fontId="38" fillId="0" borderId="0" xfId="0" applyNumberFormat="1" applyFont="1" applyAlignment="1">
      <alignment horizontal="center" vertical="center"/>
    </xf>
    <xf numFmtId="167" fontId="38" fillId="0" borderId="0" xfId="1" applyNumberFormat="1" applyFont="1" applyBorder="1" applyAlignment="1">
      <alignment horizontal="center"/>
    </xf>
    <xf numFmtId="44" fontId="39" fillId="0" borderId="34" xfId="0" applyNumberFormat="1" applyFont="1" applyBorder="1"/>
    <xf numFmtId="44" fontId="40" fillId="5" borderId="74" xfId="0" applyNumberFormat="1" applyFont="1" applyFill="1" applyBorder="1" applyAlignment="1">
      <alignment vertical="center"/>
    </xf>
    <xf numFmtId="0" fontId="41" fillId="12" borderId="22" xfId="0" applyFont="1" applyFill="1" applyBorder="1" applyAlignment="1">
      <alignment horizontal="center" vertical="center"/>
    </xf>
    <xf numFmtId="0" fontId="41" fillId="12" borderId="16" xfId="0" applyFont="1" applyFill="1" applyBorder="1" applyAlignment="1">
      <alignment horizontal="center" vertical="center" wrapText="1"/>
    </xf>
    <xf numFmtId="0" fontId="42" fillId="12" borderId="22" xfId="0" applyFont="1" applyFill="1" applyBorder="1" applyAlignment="1">
      <alignment horizontal="center" vertical="center"/>
    </xf>
    <xf numFmtId="0" fontId="42" fillId="12" borderId="16" xfId="0" applyFont="1" applyFill="1" applyBorder="1" applyAlignment="1">
      <alignment horizontal="center" vertical="center" wrapText="1"/>
    </xf>
    <xf numFmtId="0" fontId="42" fillId="12" borderId="23" xfId="0" applyFont="1" applyFill="1" applyBorder="1" applyAlignment="1">
      <alignment horizontal="center" vertical="center" wrapText="1"/>
    </xf>
    <xf numFmtId="0" fontId="42" fillId="12" borderId="33" xfId="0" applyFont="1" applyFill="1" applyBorder="1" applyAlignment="1">
      <alignment horizontal="center" vertical="center" wrapText="1"/>
    </xf>
    <xf numFmtId="44" fontId="40" fillId="13" borderId="74" xfId="0" applyNumberFormat="1" applyFont="1" applyFill="1" applyBorder="1" applyAlignment="1">
      <alignment vertical="center"/>
    </xf>
    <xf numFmtId="44" fontId="39" fillId="0" borderId="92" xfId="0" applyNumberFormat="1" applyFont="1" applyBorder="1"/>
    <xf numFmtId="165" fontId="38" fillId="0" borderId="44" xfId="1" applyNumberFormat="1" applyFont="1" applyBorder="1"/>
    <xf numFmtId="165" fontId="38" fillId="0" borderId="39" xfId="1" applyNumberFormat="1" applyFont="1" applyBorder="1"/>
    <xf numFmtId="44" fontId="38" fillId="0" borderId="0" xfId="2" applyFont="1" applyBorder="1"/>
    <xf numFmtId="44" fontId="38" fillId="0" borderId="30" xfId="2" applyFont="1" applyBorder="1" applyAlignment="1">
      <alignment horizontal="right"/>
    </xf>
    <xf numFmtId="44" fontId="38" fillId="0" borderId="39" xfId="2" applyFont="1" applyBorder="1" applyAlignment="1">
      <alignment horizontal="right"/>
    </xf>
    <xf numFmtId="44" fontId="38" fillId="0" borderId="30" xfId="2" applyFont="1" applyBorder="1"/>
    <xf numFmtId="44" fontId="38" fillId="0" borderId="39" xfId="2" applyFont="1" applyBorder="1"/>
    <xf numFmtId="44" fontId="38" fillId="0" borderId="21" xfId="2" applyFont="1" applyFill="1" applyBorder="1"/>
    <xf numFmtId="44" fontId="38" fillId="0" borderId="0" xfId="2" applyFont="1" applyBorder="1" applyAlignment="1">
      <alignment horizontal="right"/>
    </xf>
    <xf numFmtId="2" fontId="38" fillId="0" borderId="0" xfId="0" applyNumberFormat="1" applyFont="1" applyAlignment="1">
      <alignment horizontal="center" vertical="center"/>
    </xf>
    <xf numFmtId="2" fontId="38" fillId="0" borderId="39" xfId="0" applyNumberFormat="1" applyFont="1" applyBorder="1" applyAlignment="1">
      <alignment horizontal="center" vertical="center"/>
    </xf>
    <xf numFmtId="44" fontId="38" fillId="0" borderId="43" xfId="2" applyFont="1" applyBorder="1"/>
    <xf numFmtId="165" fontId="38" fillId="0" borderId="93" xfId="1" applyNumberFormat="1" applyFont="1" applyBorder="1"/>
    <xf numFmtId="44" fontId="38" fillId="0" borderId="25" xfId="2" applyFont="1" applyBorder="1" applyAlignment="1">
      <alignment horizontal="right"/>
    </xf>
    <xf numFmtId="44" fontId="38" fillId="0" borderId="93" xfId="2" applyFont="1" applyBorder="1" applyAlignment="1">
      <alignment horizontal="right"/>
    </xf>
    <xf numFmtId="44" fontId="38" fillId="0" borderId="77" xfId="2" applyFont="1" applyBorder="1"/>
    <xf numFmtId="44" fontId="38" fillId="0" borderId="32" xfId="0" applyNumberFormat="1" applyFont="1" applyBorder="1"/>
    <xf numFmtId="44" fontId="38" fillId="0" borderId="25" xfId="2" applyFont="1" applyBorder="1"/>
    <xf numFmtId="164" fontId="38" fillId="0" borderId="0" xfId="2" applyNumberFormat="1" applyFont="1" applyBorder="1" applyAlignment="1">
      <alignment horizontal="center"/>
    </xf>
    <xf numFmtId="44" fontId="38" fillId="0" borderId="0" xfId="2" applyFont="1" applyBorder="1" applyAlignment="1">
      <alignment horizontal="center"/>
    </xf>
    <xf numFmtId="44" fontId="44" fillId="0" borderId="0" xfId="2" applyFont="1" applyBorder="1" applyAlignment="1">
      <alignment horizontal="center"/>
    </xf>
    <xf numFmtId="44" fontId="38" fillId="0" borderId="42" xfId="0" applyNumberFormat="1" applyFont="1" applyBorder="1"/>
    <xf numFmtId="44" fontId="38" fillId="0" borderId="92" xfId="0" applyNumberFormat="1" applyFont="1" applyBorder="1"/>
    <xf numFmtId="44" fontId="40" fillId="5" borderId="34" xfId="0" applyNumberFormat="1" applyFont="1" applyFill="1" applyBorder="1" applyAlignment="1">
      <alignment vertical="center"/>
    </xf>
    <xf numFmtId="44" fontId="39" fillId="0" borderId="21" xfId="0" applyNumberFormat="1" applyFont="1" applyBorder="1"/>
    <xf numFmtId="0" fontId="45" fillId="0" borderId="20" xfId="0" applyFont="1" applyBorder="1" applyAlignment="1">
      <alignment horizontal="center" vertical="center"/>
    </xf>
    <xf numFmtId="0" fontId="45" fillId="0" borderId="0" xfId="0" applyFont="1" applyAlignment="1">
      <alignment horizontal="center" vertical="center"/>
    </xf>
    <xf numFmtId="44" fontId="45" fillId="0" borderId="44" xfId="2" applyFont="1" applyBorder="1"/>
    <xf numFmtId="44" fontId="45" fillId="0" borderId="0" xfId="2" applyFont="1" applyBorder="1"/>
    <xf numFmtId="44" fontId="45" fillId="0" borderId="32" xfId="0" applyNumberFormat="1" applyFont="1" applyBorder="1"/>
    <xf numFmtId="44" fontId="45" fillId="0" borderId="92" xfId="0" applyNumberFormat="1" applyFont="1" applyBorder="1"/>
    <xf numFmtId="44" fontId="45" fillId="0" borderId="39" xfId="2" applyFont="1" applyBorder="1"/>
    <xf numFmtId="44" fontId="45" fillId="0" borderId="21" xfId="0" applyNumberFormat="1" applyFont="1" applyBorder="1"/>
    <xf numFmtId="44" fontId="45" fillId="0" borderId="39" xfId="2" applyFont="1" applyBorder="1" applyAlignment="1">
      <alignment horizontal="center"/>
    </xf>
    <xf numFmtId="44" fontId="46" fillId="0" borderId="39" xfId="2" applyFont="1" applyBorder="1" applyAlignment="1">
      <alignment horizontal="center"/>
    </xf>
    <xf numFmtId="44" fontId="46" fillId="0" borderId="32" xfId="0" applyNumberFormat="1" applyFont="1" applyBorder="1"/>
    <xf numFmtId="44" fontId="46" fillId="0" borderId="21" xfId="0" applyNumberFormat="1" applyFont="1" applyBorder="1"/>
    <xf numFmtId="44" fontId="46" fillId="0" borderId="0" xfId="2" applyFont="1" applyFill="1" applyBorder="1"/>
    <xf numFmtId="164" fontId="38" fillId="0" borderId="0" xfId="2" applyNumberFormat="1" applyFont="1" applyBorder="1"/>
    <xf numFmtId="43" fontId="38" fillId="0" borderId="0" xfId="1" applyFont="1" applyBorder="1"/>
    <xf numFmtId="44" fontId="38" fillId="0" borderId="26" xfId="0" applyNumberFormat="1" applyFont="1" applyBorder="1"/>
    <xf numFmtId="169" fontId="38" fillId="0" borderId="0" xfId="2" applyNumberFormat="1" applyFont="1" applyBorder="1"/>
    <xf numFmtId="8" fontId="40" fillId="5" borderId="29" xfId="0" applyNumberFormat="1" applyFont="1" applyFill="1" applyBorder="1" applyAlignment="1">
      <alignment vertical="center"/>
    </xf>
    <xf numFmtId="0" fontId="11" fillId="12" borderId="52" xfId="0" applyFont="1" applyFill="1" applyBorder="1" applyAlignment="1">
      <alignment horizontal="center" vertical="center" wrapText="1"/>
    </xf>
    <xf numFmtId="0" fontId="11" fillId="12" borderId="72" xfId="0" applyFont="1" applyFill="1" applyBorder="1" applyAlignment="1">
      <alignment horizontal="center" vertical="center" wrapText="1"/>
    </xf>
    <xf numFmtId="0" fontId="10" fillId="14" borderId="47" xfId="0" applyFont="1" applyFill="1" applyBorder="1" applyAlignment="1">
      <alignment horizontal="center" vertical="center"/>
    </xf>
    <xf numFmtId="0" fontId="10" fillId="14" borderId="37" xfId="0" applyFont="1" applyFill="1" applyBorder="1" applyAlignment="1">
      <alignment horizontal="center" vertical="center"/>
    </xf>
    <xf numFmtId="164" fontId="10" fillId="14" borderId="37" xfId="0" applyNumberFormat="1" applyFont="1" applyFill="1" applyBorder="1"/>
    <xf numFmtId="164" fontId="10" fillId="14" borderId="6" xfId="0" applyNumberFormat="1" applyFont="1" applyFill="1" applyBorder="1"/>
    <xf numFmtId="164" fontId="10" fillId="14" borderId="9" xfId="0" applyNumberFormat="1" applyFont="1" applyFill="1" applyBorder="1"/>
    <xf numFmtId="164" fontId="33" fillId="14" borderId="33" xfId="0" applyNumberFormat="1" applyFont="1" applyFill="1" applyBorder="1"/>
    <xf numFmtId="0" fontId="47" fillId="5" borderId="20" xfId="0" applyFont="1" applyFill="1" applyBorder="1" applyAlignment="1">
      <alignment horizontal="center" vertical="center"/>
    </xf>
    <xf numFmtId="0" fontId="47" fillId="5" borderId="0" xfId="0" applyFont="1" applyFill="1" applyAlignment="1">
      <alignment horizontal="center" vertical="center" wrapText="1"/>
    </xf>
    <xf numFmtId="0" fontId="47" fillId="5" borderId="21" xfId="0" applyFont="1" applyFill="1" applyBorder="1" applyAlignment="1">
      <alignment horizontal="center" vertical="center" wrapText="1"/>
    </xf>
    <xf numFmtId="0" fontId="38" fillId="0" borderId="47" xfId="0" applyFont="1" applyBorder="1"/>
    <xf numFmtId="164" fontId="38" fillId="0" borderId="37" xfId="0" applyNumberFormat="1" applyFont="1" applyBorder="1" applyAlignment="1">
      <alignment vertical="center"/>
    </xf>
    <xf numFmtId="164" fontId="38" fillId="0" borderId="48" xfId="0" applyNumberFormat="1" applyFont="1" applyBorder="1" applyAlignment="1">
      <alignment vertical="center"/>
    </xf>
    <xf numFmtId="0" fontId="38" fillId="0" borderId="47" xfId="0" applyFont="1" applyBorder="1" applyAlignment="1">
      <alignment wrapText="1"/>
    </xf>
    <xf numFmtId="0" fontId="48" fillId="0" borderId="27" xfId="0" applyFont="1" applyBorder="1"/>
    <xf numFmtId="172" fontId="48" fillId="0" borderId="74" xfId="0" applyNumberFormat="1" applyFont="1" applyBorder="1" applyAlignment="1">
      <alignment vertical="center"/>
    </xf>
    <xf numFmtId="0" fontId="48" fillId="0" borderId="74" xfId="0" applyFont="1" applyBorder="1"/>
    <xf numFmtId="0" fontId="49" fillId="0" borderId="27" xfId="0" applyFont="1" applyBorder="1"/>
    <xf numFmtId="2" fontId="49" fillId="0" borderId="74" xfId="0" applyNumberFormat="1" applyFont="1" applyBorder="1" applyAlignment="1">
      <alignment horizontal="center" vertical="center"/>
    </xf>
    <xf numFmtId="0" fontId="47" fillId="5" borderId="74" xfId="0" applyFont="1" applyFill="1" applyBorder="1" applyAlignment="1">
      <alignment wrapText="1"/>
    </xf>
    <xf numFmtId="0" fontId="38" fillId="14" borderId="47" xfId="0" applyFont="1" applyFill="1" applyBorder="1"/>
    <xf numFmtId="164" fontId="38" fillId="14" borderId="37" xfId="0" applyNumberFormat="1" applyFont="1" applyFill="1" applyBorder="1" applyAlignment="1">
      <alignment vertical="center"/>
    </xf>
    <xf numFmtId="164" fontId="38" fillId="14" borderId="48" xfId="0" applyNumberFormat="1" applyFont="1" applyFill="1" applyBorder="1" applyAlignment="1">
      <alignment vertical="center"/>
    </xf>
    <xf numFmtId="0" fontId="38" fillId="14" borderId="61" xfId="0" applyFont="1" applyFill="1" applyBorder="1"/>
    <xf numFmtId="164" fontId="38" fillId="14" borderId="1" xfId="0" applyNumberFormat="1" applyFont="1" applyFill="1" applyBorder="1" applyAlignment="1">
      <alignment vertical="center"/>
    </xf>
    <xf numFmtId="164" fontId="38" fillId="14" borderId="62" xfId="0" applyNumberFormat="1" applyFont="1" applyFill="1" applyBorder="1" applyAlignment="1">
      <alignment vertical="center"/>
    </xf>
    <xf numFmtId="0" fontId="38" fillId="14" borderId="20" xfId="0" applyFont="1" applyFill="1" applyBorder="1" applyAlignment="1">
      <alignment horizontal="center" vertical="center"/>
    </xf>
    <xf numFmtId="0" fontId="38" fillId="14" borderId="0" xfId="0" applyFont="1" applyFill="1" applyAlignment="1">
      <alignment horizontal="center" vertical="center"/>
    </xf>
    <xf numFmtId="165" fontId="38" fillId="14" borderId="0" xfId="1" applyNumberFormat="1" applyFont="1" applyFill="1" applyBorder="1"/>
    <xf numFmtId="44" fontId="38" fillId="14" borderId="21" xfId="0" applyNumberFormat="1" applyFont="1" applyFill="1" applyBorder="1"/>
    <xf numFmtId="44" fontId="39" fillId="14" borderId="32" xfId="0" applyNumberFormat="1" applyFont="1" applyFill="1" applyBorder="1"/>
    <xf numFmtId="167" fontId="38" fillId="14" borderId="0" xfId="0" applyNumberFormat="1" applyFont="1" applyFill="1" applyAlignment="1">
      <alignment horizontal="center" vertical="center"/>
    </xf>
    <xf numFmtId="167" fontId="38" fillId="14" borderId="0" xfId="1" applyNumberFormat="1" applyFont="1" applyFill="1" applyBorder="1" applyAlignment="1">
      <alignment horizontal="center"/>
    </xf>
    <xf numFmtId="0" fontId="42" fillId="12" borderId="22" xfId="0" applyFont="1" applyFill="1" applyBorder="1" applyAlignment="1">
      <alignment horizontal="center"/>
    </xf>
    <xf numFmtId="0" fontId="42" fillId="12" borderId="16" xfId="0" applyFont="1" applyFill="1" applyBorder="1" applyAlignment="1">
      <alignment horizontal="center" wrapText="1"/>
    </xf>
    <xf numFmtId="0" fontId="42" fillId="12" borderId="23" xfId="0" applyFont="1" applyFill="1" applyBorder="1" applyAlignment="1">
      <alignment horizontal="center" wrapText="1"/>
    </xf>
    <xf numFmtId="0" fontId="42" fillId="12" borderId="21" xfId="0" applyFont="1" applyFill="1" applyBorder="1" applyAlignment="1">
      <alignment horizontal="center" wrapText="1"/>
    </xf>
    <xf numFmtId="0" fontId="41" fillId="12" borderId="16" xfId="0" applyFont="1" applyFill="1" applyBorder="1" applyAlignment="1">
      <alignment horizontal="center" vertical="center"/>
    </xf>
    <xf numFmtId="0" fontId="42" fillId="12" borderId="16" xfId="0" applyFont="1" applyFill="1" applyBorder="1" applyAlignment="1">
      <alignment horizontal="center" vertical="center"/>
    </xf>
    <xf numFmtId="0" fontId="42" fillId="12" borderId="94" xfId="0" applyFont="1" applyFill="1" applyBorder="1" applyAlignment="1">
      <alignment horizontal="center" vertical="center"/>
    </xf>
    <xf numFmtId="0" fontId="42" fillId="12" borderId="40" xfId="0" applyFont="1" applyFill="1" applyBorder="1" applyAlignment="1">
      <alignment horizontal="center" vertical="center"/>
    </xf>
    <xf numFmtId="165" fontId="38" fillId="14" borderId="39" xfId="1" applyNumberFormat="1" applyFont="1" applyFill="1" applyBorder="1"/>
    <xf numFmtId="44" fontId="38" fillId="14" borderId="0" xfId="2" applyFont="1" applyFill="1" applyBorder="1"/>
    <xf numFmtId="44" fontId="38" fillId="14" borderId="0" xfId="2" applyFont="1" applyFill="1" applyBorder="1" applyAlignment="1">
      <alignment horizontal="right"/>
    </xf>
    <xf numFmtId="44" fontId="38" fillId="14" borderId="39" xfId="2" applyFont="1" applyFill="1" applyBorder="1" applyAlignment="1">
      <alignment horizontal="right"/>
    </xf>
    <xf numFmtId="44" fontId="38" fillId="14" borderId="39" xfId="2" applyFont="1" applyFill="1" applyBorder="1"/>
    <xf numFmtId="44" fontId="38" fillId="14" borderId="77" xfId="2" applyFont="1" applyFill="1" applyBorder="1"/>
    <xf numFmtId="44" fontId="38" fillId="14" borderId="21" xfId="2" applyFont="1" applyFill="1" applyBorder="1"/>
    <xf numFmtId="44" fontId="38" fillId="14" borderId="32" xfId="0" applyNumberFormat="1" applyFont="1" applyFill="1" applyBorder="1"/>
    <xf numFmtId="2" fontId="38" fillId="14" borderId="0" xfId="0" applyNumberFormat="1" applyFont="1" applyFill="1" applyAlignment="1">
      <alignment horizontal="center" vertical="center"/>
    </xf>
    <xf numFmtId="2" fontId="38" fillId="14" borderId="39" xfId="0" applyNumberFormat="1" applyFont="1" applyFill="1" applyBorder="1" applyAlignment="1">
      <alignment horizontal="center" vertical="center"/>
    </xf>
    <xf numFmtId="44" fontId="38" fillId="14" borderId="43" xfId="2" applyFont="1" applyFill="1" applyBorder="1"/>
    <xf numFmtId="0" fontId="41" fillId="12" borderId="41" xfId="0" applyFont="1" applyFill="1" applyBorder="1" applyAlignment="1">
      <alignment horizontal="center" vertical="center" wrapText="1"/>
    </xf>
    <xf numFmtId="0" fontId="41" fillId="12" borderId="21" xfId="0" applyFont="1" applyFill="1" applyBorder="1" applyAlignment="1">
      <alignment horizontal="center" vertical="center" wrapText="1"/>
    </xf>
    <xf numFmtId="44" fontId="38" fillId="14" borderId="42" xfId="0" applyNumberFormat="1" applyFont="1" applyFill="1" applyBorder="1"/>
    <xf numFmtId="164" fontId="38" fillId="14" borderId="0" xfId="2" applyNumberFormat="1" applyFont="1" applyFill="1" applyBorder="1" applyAlignment="1">
      <alignment horizontal="center"/>
    </xf>
    <xf numFmtId="44" fontId="38" fillId="14" borderId="0" xfId="2" applyFont="1" applyFill="1" applyBorder="1" applyAlignment="1">
      <alignment horizontal="center"/>
    </xf>
    <xf numFmtId="44" fontId="44" fillId="14" borderId="0" xfId="2" applyFont="1" applyFill="1" applyBorder="1" applyAlignment="1">
      <alignment horizontal="center"/>
    </xf>
    <xf numFmtId="0" fontId="54" fillId="12" borderId="22" xfId="0" applyFont="1" applyFill="1" applyBorder="1" applyAlignment="1">
      <alignment horizontal="center" vertical="center"/>
    </xf>
    <xf numFmtId="0" fontId="54" fillId="12" borderId="16" xfId="0" applyFont="1" applyFill="1" applyBorder="1" applyAlignment="1">
      <alignment horizontal="center" vertical="center" wrapText="1"/>
    </xf>
    <xf numFmtId="0" fontId="54" fillId="12" borderId="40" xfId="0" applyFont="1" applyFill="1" applyBorder="1" applyAlignment="1">
      <alignment horizontal="center" vertical="center" wrapText="1"/>
    </xf>
    <xf numFmtId="0" fontId="54" fillId="12" borderId="33" xfId="0" applyFont="1" applyFill="1" applyBorder="1" applyAlignment="1">
      <alignment horizontal="center" vertical="center" wrapText="1"/>
    </xf>
    <xf numFmtId="0" fontId="54" fillId="12" borderId="21" xfId="0" applyFont="1" applyFill="1" applyBorder="1" applyAlignment="1">
      <alignment horizontal="center" vertical="center" wrapText="1"/>
    </xf>
    <xf numFmtId="0" fontId="45" fillId="14" borderId="20" xfId="0" applyFont="1" applyFill="1" applyBorder="1" applyAlignment="1">
      <alignment horizontal="center" vertical="center"/>
    </xf>
    <xf numFmtId="0" fontId="45" fillId="14" borderId="0" xfId="0" applyFont="1" applyFill="1" applyAlignment="1">
      <alignment horizontal="center" vertical="center"/>
    </xf>
    <xf numFmtId="44" fontId="45" fillId="14" borderId="39" xfId="2" applyFont="1" applyFill="1" applyBorder="1"/>
    <xf numFmtId="44" fontId="45" fillId="14" borderId="0" xfId="2" applyFont="1" applyFill="1" applyBorder="1"/>
    <xf numFmtId="44" fontId="45" fillId="14" borderId="32" xfId="0" applyNumberFormat="1" applyFont="1" applyFill="1" applyBorder="1"/>
    <xf numFmtId="44" fontId="45" fillId="14" borderId="21" xfId="0" applyNumberFormat="1" applyFont="1" applyFill="1" applyBorder="1"/>
    <xf numFmtId="44" fontId="45" fillId="14" borderId="39" xfId="2" applyFont="1" applyFill="1" applyBorder="1" applyAlignment="1">
      <alignment horizontal="center"/>
    </xf>
    <xf numFmtId="44" fontId="46" fillId="14" borderId="39" xfId="2" applyFont="1" applyFill="1" applyBorder="1" applyAlignment="1">
      <alignment horizontal="center"/>
    </xf>
    <xf numFmtId="44" fontId="46" fillId="14" borderId="0" xfId="2" applyFont="1" applyFill="1" applyBorder="1"/>
    <xf numFmtId="44" fontId="46" fillId="14" borderId="32" xfId="0" applyNumberFormat="1" applyFont="1" applyFill="1" applyBorder="1"/>
    <xf numFmtId="44" fontId="46" fillId="14" borderId="21" xfId="0" applyNumberFormat="1" applyFont="1" applyFill="1" applyBorder="1"/>
    <xf numFmtId="0" fontId="55" fillId="12" borderId="23" xfId="0" applyFont="1" applyFill="1" applyBorder="1" applyAlignment="1">
      <alignment horizontal="center" vertical="center" wrapText="1"/>
    </xf>
    <xf numFmtId="164" fontId="38" fillId="14" borderId="0" xfId="2" applyNumberFormat="1" applyFont="1" applyFill="1" applyBorder="1"/>
    <xf numFmtId="44" fontId="39" fillId="14" borderId="21" xfId="0" applyNumberFormat="1" applyFont="1" applyFill="1" applyBorder="1"/>
    <xf numFmtId="43" fontId="38" fillId="14" borderId="0" xfId="1" applyFont="1" applyFill="1" applyBorder="1"/>
    <xf numFmtId="169" fontId="38" fillId="14" borderId="0" xfId="2" applyNumberFormat="1" applyFont="1" applyFill="1" applyBorder="1"/>
    <xf numFmtId="165" fontId="10" fillId="0" borderId="0" xfId="1" applyNumberFormat="1" applyFont="1" applyBorder="1"/>
    <xf numFmtId="166" fontId="10" fillId="0" borderId="0" xfId="1" applyNumberFormat="1" applyFont="1" applyBorder="1"/>
    <xf numFmtId="165" fontId="10" fillId="14" borderId="0" xfId="1" applyNumberFormat="1" applyFont="1" applyFill="1" applyBorder="1"/>
    <xf numFmtId="166" fontId="10" fillId="14" borderId="0" xfId="1" applyNumberFormat="1" applyFont="1" applyFill="1" applyBorder="1"/>
    <xf numFmtId="10" fontId="0" fillId="0" borderId="2" xfId="3" applyNumberFormat="1" applyFont="1" applyFill="1" applyBorder="1"/>
    <xf numFmtId="0" fontId="58" fillId="12" borderId="6" xfId="0" applyFont="1" applyFill="1" applyBorder="1" applyAlignment="1">
      <alignment horizontal="center" vertical="center"/>
    </xf>
    <xf numFmtId="0" fontId="58" fillId="12" borderId="37" xfId="0" applyFont="1" applyFill="1" applyBorder="1" applyAlignment="1">
      <alignment horizontal="center" vertical="center"/>
    </xf>
    <xf numFmtId="0" fontId="14" fillId="9" borderId="0" xfId="0" applyFont="1" applyFill="1"/>
    <xf numFmtId="0" fontId="16" fillId="9" borderId="0" xfId="0" applyFont="1" applyFill="1" applyAlignment="1">
      <alignment horizontal="center"/>
    </xf>
    <xf numFmtId="167" fontId="16" fillId="9" borderId="31" xfId="0" applyNumberFormat="1" applyFont="1" applyFill="1" applyBorder="1" applyAlignment="1">
      <alignment horizontal="center"/>
    </xf>
    <xf numFmtId="167" fontId="16" fillId="9" borderId="32" xfId="0" applyNumberFormat="1" applyFont="1" applyFill="1" applyBorder="1" applyAlignment="1">
      <alignment horizontal="center"/>
    </xf>
    <xf numFmtId="167" fontId="16" fillId="9" borderId="33" xfId="0" applyNumberFormat="1" applyFont="1" applyFill="1" applyBorder="1" applyAlignment="1">
      <alignment horizontal="center"/>
    </xf>
    <xf numFmtId="0" fontId="16" fillId="9" borderId="34" xfId="0" applyFont="1" applyFill="1" applyBorder="1" applyAlignment="1">
      <alignment horizontal="center"/>
    </xf>
    <xf numFmtId="167" fontId="16" fillId="14" borderId="31" xfId="0" applyNumberFormat="1" applyFont="1" applyFill="1" applyBorder="1" applyAlignment="1">
      <alignment horizontal="center"/>
    </xf>
    <xf numFmtId="167" fontId="16" fillId="14" borderId="32" xfId="0" applyNumberFormat="1" applyFont="1" applyFill="1" applyBorder="1" applyAlignment="1">
      <alignment horizontal="center"/>
    </xf>
    <xf numFmtId="167" fontId="16" fillId="14" borderId="33" xfId="0" applyNumberFormat="1" applyFont="1" applyFill="1" applyBorder="1" applyAlignment="1">
      <alignment horizontal="center"/>
    </xf>
    <xf numFmtId="0" fontId="16" fillId="14" borderId="34" xfId="0" applyFont="1" applyFill="1" applyBorder="1" applyAlignment="1">
      <alignment horizontal="center"/>
    </xf>
    <xf numFmtId="0" fontId="14" fillId="14" borderId="0" xfId="0" applyFont="1" applyFill="1"/>
    <xf numFmtId="0" fontId="16" fillId="14" borderId="0" xfId="0" applyFont="1" applyFill="1" applyAlignment="1">
      <alignment horizontal="center"/>
    </xf>
    <xf numFmtId="0" fontId="14" fillId="12" borderId="0" xfId="0" applyFont="1" applyFill="1"/>
    <xf numFmtId="0" fontId="16" fillId="12" borderId="0" xfId="0" applyFont="1" applyFill="1" applyAlignment="1">
      <alignment horizontal="center"/>
    </xf>
    <xf numFmtId="0" fontId="16" fillId="12" borderId="31" xfId="0" applyFont="1" applyFill="1" applyBorder="1" applyAlignment="1">
      <alignment horizontal="center"/>
    </xf>
    <xf numFmtId="0" fontId="16" fillId="12" borderId="32" xfId="0" applyFont="1" applyFill="1" applyBorder="1" applyAlignment="1">
      <alignment horizontal="center"/>
    </xf>
    <xf numFmtId="0" fontId="16" fillId="12" borderId="33" xfId="0" applyFont="1" applyFill="1" applyBorder="1" applyAlignment="1">
      <alignment horizontal="center"/>
    </xf>
    <xf numFmtId="0" fontId="16" fillId="12" borderId="34" xfId="0" applyFont="1" applyFill="1" applyBorder="1" applyAlignment="1">
      <alignment horizontal="center"/>
    </xf>
    <xf numFmtId="0" fontId="17" fillId="0" borderId="0" xfId="0" applyFont="1" applyAlignment="1">
      <alignment horizontal="center" vertical="center"/>
    </xf>
    <xf numFmtId="0" fontId="17" fillId="0" borderId="16" xfId="0" applyFont="1" applyBorder="1" applyAlignment="1">
      <alignment horizontal="center" vertical="center"/>
    </xf>
    <xf numFmtId="1" fontId="17" fillId="0" borderId="30" xfId="0" applyNumberFormat="1" applyFont="1" applyBorder="1" applyAlignment="1">
      <alignment horizontal="center" vertical="center"/>
    </xf>
    <xf numFmtId="0" fontId="60" fillId="12" borderId="20" xfId="0" applyFont="1" applyFill="1" applyBorder="1"/>
    <xf numFmtId="0" fontId="60" fillId="12" borderId="0" xfId="0" applyFont="1" applyFill="1"/>
    <xf numFmtId="0" fontId="60" fillId="12" borderId="21" xfId="0" applyFont="1" applyFill="1" applyBorder="1"/>
    <xf numFmtId="0" fontId="25" fillId="0" borderId="20" xfId="0" applyFont="1" applyBorder="1"/>
    <xf numFmtId="22" fontId="25" fillId="0" borderId="0" xfId="0" applyNumberFormat="1" applyFont="1"/>
    <xf numFmtId="0" fontId="26" fillId="0" borderId="21" xfId="4" applyFont="1" applyBorder="1"/>
    <xf numFmtId="0" fontId="25" fillId="0" borderId="24" xfId="0" applyFont="1" applyBorder="1"/>
    <xf numFmtId="0" fontId="25" fillId="0" borderId="25" xfId="0" applyFont="1" applyBorder="1"/>
    <xf numFmtId="22" fontId="25" fillId="0" borderId="25" xfId="0" applyNumberFormat="1" applyFont="1" applyBorder="1"/>
    <xf numFmtId="0" fontId="26" fillId="0" borderId="26" xfId="4" applyFont="1" applyBorder="1"/>
    <xf numFmtId="0" fontId="21" fillId="8" borderId="16" xfId="0" applyFont="1" applyFill="1" applyBorder="1" applyAlignment="1">
      <alignment horizontal="center" vertical="center"/>
    </xf>
    <xf numFmtId="0" fontId="57" fillId="12" borderId="47" xfId="0" applyFont="1" applyFill="1" applyBorder="1" applyAlignment="1">
      <alignment horizontal="center" vertical="center"/>
    </xf>
    <xf numFmtId="0" fontId="57" fillId="12" borderId="37" xfId="0" applyFont="1" applyFill="1" applyBorder="1" applyAlignment="1">
      <alignment horizontal="center" vertical="center"/>
    </xf>
    <xf numFmtId="0" fontId="57" fillId="12" borderId="48" xfId="0" applyFont="1" applyFill="1" applyBorder="1" applyAlignment="1">
      <alignment horizontal="center" vertical="center"/>
    </xf>
    <xf numFmtId="2" fontId="0" fillId="0" borderId="52" xfId="0" applyNumberFormat="1" applyBorder="1" applyAlignment="1">
      <alignment horizontal="center" vertical="center"/>
    </xf>
    <xf numFmtId="2" fontId="0" fillId="0" borderId="50" xfId="0" applyNumberFormat="1" applyBorder="1" applyAlignment="1">
      <alignment horizontal="center" vertical="center"/>
    </xf>
    <xf numFmtId="0" fontId="60" fillId="12" borderId="0" xfId="0" applyFont="1" applyFill="1" applyAlignment="1">
      <alignment horizontal="left"/>
    </xf>
    <xf numFmtId="0" fontId="9" fillId="12" borderId="47" xfId="0" applyFont="1" applyFill="1" applyBorder="1" applyAlignment="1">
      <alignment horizontal="left"/>
    </xf>
    <xf numFmtId="0" fontId="9" fillId="12" borderId="48" xfId="0" applyFont="1" applyFill="1" applyBorder="1" applyAlignment="1">
      <alignment horizontal="right"/>
    </xf>
    <xf numFmtId="0" fontId="9" fillId="12" borderId="49" xfId="0" applyFont="1" applyFill="1" applyBorder="1" applyAlignment="1">
      <alignment horizontal="left"/>
    </xf>
    <xf numFmtId="0" fontId="9" fillId="12" borderId="50" xfId="0" applyFont="1" applyFill="1" applyBorder="1" applyAlignment="1">
      <alignment horizontal="right"/>
    </xf>
    <xf numFmtId="0" fontId="27" fillId="8" borderId="0" xfId="0" applyFont="1" applyFill="1"/>
    <xf numFmtId="0" fontId="0" fillId="0" borderId="0" xfId="0" applyAlignment="1">
      <alignment vertical="center"/>
    </xf>
    <xf numFmtId="0" fontId="0" fillId="9" borderId="0" xfId="0" applyFill="1"/>
    <xf numFmtId="0" fontId="65" fillId="9" borderId="0" xfId="0" applyFont="1" applyFill="1" applyAlignment="1">
      <alignment vertical="top" wrapText="1"/>
    </xf>
    <xf numFmtId="0" fontId="22" fillId="9" borderId="0" xfId="0" applyFont="1" applyFill="1" applyAlignment="1">
      <alignment horizontal="center" vertical="center" wrapText="1"/>
    </xf>
    <xf numFmtId="0" fontId="2" fillId="9" borderId="0" xfId="4" applyFill="1" applyAlignment="1">
      <alignment vertical="top"/>
    </xf>
    <xf numFmtId="0" fontId="2" fillId="9" borderId="0" xfId="4" quotePrefix="1" applyFill="1" applyAlignment="1">
      <alignment vertical="top"/>
    </xf>
    <xf numFmtId="0" fontId="2" fillId="9" borderId="0" xfId="4" applyFill="1" applyAlignment="1">
      <alignment vertical="top" wrapText="1"/>
    </xf>
    <xf numFmtId="0" fontId="2" fillId="9" borderId="0" xfId="4" quotePrefix="1" applyFill="1"/>
    <xf numFmtId="0" fontId="68" fillId="9" borderId="0" xfId="0" applyFont="1" applyFill="1" applyAlignment="1">
      <alignment horizontal="center" vertical="center"/>
    </xf>
    <xf numFmtId="0" fontId="68" fillId="9" borderId="0" xfId="0" applyFont="1" applyFill="1" applyAlignment="1">
      <alignment vertical="top"/>
    </xf>
    <xf numFmtId="0" fontId="2" fillId="9" borderId="0" xfId="4" applyFill="1"/>
    <xf numFmtId="44" fontId="69" fillId="14" borderId="0" xfId="2" applyFont="1" applyFill="1" applyBorder="1" applyAlignment="1">
      <alignment horizontal="center"/>
    </xf>
    <xf numFmtId="44" fontId="69" fillId="0" borderId="0" xfId="2" applyFont="1" applyBorder="1" applyAlignment="1">
      <alignment horizontal="center"/>
    </xf>
    <xf numFmtId="44" fontId="69" fillId="0" borderId="0" xfId="2" applyFont="1" applyBorder="1"/>
    <xf numFmtId="164" fontId="69" fillId="0" borderId="0" xfId="2" applyNumberFormat="1" applyFont="1" applyBorder="1" applyAlignment="1">
      <alignment horizontal="center"/>
    </xf>
    <xf numFmtId="44" fontId="69" fillId="14" borderId="0" xfId="2" applyFont="1" applyFill="1" applyBorder="1"/>
    <xf numFmtId="164" fontId="69" fillId="14" borderId="0" xfId="2" applyNumberFormat="1" applyFont="1" applyFill="1" applyBorder="1" applyAlignment="1">
      <alignment horizontal="center"/>
    </xf>
    <xf numFmtId="0" fontId="70" fillId="12" borderId="47" xfId="0" applyFont="1" applyFill="1" applyBorder="1" applyAlignment="1">
      <alignment horizontal="center"/>
    </xf>
    <xf numFmtId="0" fontId="70" fillId="12" borderId="37" xfId="0" applyFont="1" applyFill="1" applyBorder="1" applyAlignment="1">
      <alignment horizontal="center"/>
    </xf>
    <xf numFmtId="0" fontId="70" fillId="12" borderId="48" xfId="0" applyFont="1" applyFill="1" applyBorder="1" applyAlignment="1">
      <alignment horizontal="center"/>
    </xf>
    <xf numFmtId="164" fontId="38" fillId="0" borderId="37" xfId="2" applyNumberFormat="1" applyFont="1" applyBorder="1"/>
    <xf numFmtId="164" fontId="38" fillId="0" borderId="48" xfId="2" applyNumberFormat="1" applyFont="1" applyBorder="1"/>
    <xf numFmtId="164" fontId="38" fillId="14" borderId="37" xfId="2" applyNumberFormat="1" applyFont="1" applyFill="1" applyBorder="1"/>
    <xf numFmtId="164" fontId="38" fillId="14" borderId="48" xfId="2" applyNumberFormat="1" applyFont="1" applyFill="1" applyBorder="1"/>
    <xf numFmtId="0" fontId="42" fillId="12" borderId="64" xfId="0" applyFont="1" applyFill="1" applyBorder="1" applyAlignment="1">
      <alignment horizontal="right"/>
    </xf>
    <xf numFmtId="164" fontId="42" fillId="12" borderId="65" xfId="0" applyNumberFormat="1" applyFont="1" applyFill="1" applyBorder="1"/>
    <xf numFmtId="164" fontId="42" fillId="12" borderId="66" xfId="0" applyNumberFormat="1" applyFont="1" applyFill="1" applyBorder="1"/>
    <xf numFmtId="0" fontId="0" fillId="9" borderId="0" xfId="0" applyFill="1" applyAlignment="1"/>
    <xf numFmtId="0" fontId="67" fillId="9" borderId="0" xfId="0" applyFont="1" applyFill="1" applyAlignment="1">
      <alignment horizontal="left" vertical="top" wrapText="1"/>
    </xf>
    <xf numFmtId="0" fontId="68" fillId="9" borderId="0" xfId="0" applyFont="1" applyFill="1" applyAlignment="1">
      <alignment vertical="top"/>
    </xf>
    <xf numFmtId="0" fontId="66" fillId="9" borderId="0" xfId="0" applyFont="1" applyFill="1" applyAlignment="1">
      <alignment horizontal="center" vertical="center"/>
    </xf>
    <xf numFmtId="174" fontId="66" fillId="9" borderId="0" xfId="0" applyNumberFormat="1" applyFont="1" applyFill="1" applyAlignment="1">
      <alignment horizontal="center" vertical="center"/>
    </xf>
    <xf numFmtId="0" fontId="22" fillId="9" borderId="99" xfId="0" applyFont="1" applyFill="1" applyBorder="1" applyAlignment="1">
      <alignment horizontal="center" vertical="center" wrapText="1"/>
    </xf>
    <xf numFmtId="0" fontId="22" fillId="9" borderId="100" xfId="0" applyFont="1" applyFill="1" applyBorder="1" applyAlignment="1">
      <alignment horizontal="center" vertical="center" wrapText="1"/>
    </xf>
    <xf numFmtId="0" fontId="22" fillId="9" borderId="101" xfId="0" applyFont="1" applyFill="1" applyBorder="1" applyAlignment="1">
      <alignment horizontal="center" vertical="center" wrapText="1"/>
    </xf>
    <xf numFmtId="0" fontId="22" fillId="9" borderId="102" xfId="0" applyFont="1" applyFill="1" applyBorder="1" applyAlignment="1">
      <alignment horizontal="center" vertical="center" wrapText="1"/>
    </xf>
    <xf numFmtId="0" fontId="22" fillId="9" borderId="0" xfId="0" applyFont="1" applyFill="1" applyAlignment="1">
      <alignment horizontal="center" vertical="center" wrapText="1"/>
    </xf>
    <xf numFmtId="0" fontId="22" fillId="9" borderId="103" xfId="0" applyFont="1" applyFill="1" applyBorder="1" applyAlignment="1">
      <alignment horizontal="center" vertical="center" wrapText="1"/>
    </xf>
    <xf numFmtId="0" fontId="22" fillId="9" borderId="104" xfId="0" applyFont="1" applyFill="1" applyBorder="1" applyAlignment="1">
      <alignment horizontal="center" vertical="center" wrapText="1"/>
    </xf>
    <xf numFmtId="0" fontId="22" fillId="9" borderId="105" xfId="0" applyFont="1" applyFill="1" applyBorder="1" applyAlignment="1">
      <alignment horizontal="center" vertical="center" wrapText="1"/>
    </xf>
    <xf numFmtId="0" fontId="22" fillId="9" borderId="106" xfId="0" applyFont="1" applyFill="1" applyBorder="1" applyAlignment="1">
      <alignment horizontal="center" vertical="center" wrapText="1"/>
    </xf>
    <xf numFmtId="0" fontId="47" fillId="5" borderId="17" xfId="0" applyFont="1" applyFill="1" applyBorder="1" applyAlignment="1">
      <alignment horizontal="center" vertical="center"/>
    </xf>
    <xf numFmtId="0" fontId="47" fillId="5" borderId="18" xfId="0" applyFont="1" applyFill="1" applyBorder="1" applyAlignment="1">
      <alignment horizontal="center" vertical="center"/>
    </xf>
    <xf numFmtId="0" fontId="47" fillId="5" borderId="19" xfId="0" applyFont="1" applyFill="1" applyBorder="1" applyAlignment="1">
      <alignment horizontal="center" vertical="center"/>
    </xf>
    <xf numFmtId="172" fontId="48" fillId="0" borderId="28" xfId="0" applyNumberFormat="1" applyFont="1" applyBorder="1" applyAlignment="1">
      <alignment horizontal="center" vertical="center"/>
    </xf>
    <xf numFmtId="172" fontId="48" fillId="0" borderId="29" xfId="0" applyNumberFormat="1" applyFont="1" applyBorder="1" applyAlignment="1">
      <alignment horizontal="center" vertical="center"/>
    </xf>
    <xf numFmtId="2" fontId="47" fillId="5" borderId="28" xfId="0" applyNumberFormat="1" applyFont="1" applyFill="1" applyBorder="1" applyAlignment="1">
      <alignment horizontal="center" vertical="center"/>
    </xf>
    <xf numFmtId="2" fontId="47" fillId="5" borderId="29" xfId="0" applyNumberFormat="1" applyFont="1" applyFill="1" applyBorder="1" applyAlignment="1">
      <alignment horizontal="center" vertical="center"/>
    </xf>
    <xf numFmtId="0" fontId="11" fillId="5" borderId="79" xfId="0" applyFont="1" applyFill="1" applyBorder="1" applyAlignment="1">
      <alignment horizontal="center" vertical="center"/>
    </xf>
    <xf numFmtId="0" fontId="11" fillId="5" borderId="57" xfId="0" applyFont="1" applyFill="1" applyBorder="1" applyAlignment="1">
      <alignment horizontal="center" vertical="center"/>
    </xf>
    <xf numFmtId="0" fontId="11" fillId="5" borderId="19" xfId="0" applyFont="1" applyFill="1" applyBorder="1" applyAlignment="1">
      <alignment horizontal="center" vertical="center"/>
    </xf>
    <xf numFmtId="0" fontId="35" fillId="5" borderId="27" xfId="0" applyFont="1" applyFill="1" applyBorder="1" applyAlignment="1">
      <alignment horizontal="right" vertical="center"/>
    </xf>
    <xf numFmtId="0" fontId="35" fillId="5" borderId="28" xfId="0" applyFont="1" applyFill="1" applyBorder="1" applyAlignment="1">
      <alignment horizontal="right" vertical="center"/>
    </xf>
    <xf numFmtId="2" fontId="35" fillId="5" borderId="27" xfId="0" applyNumberFormat="1" applyFont="1" applyFill="1" applyBorder="1" applyAlignment="1">
      <alignment horizontal="center" vertical="center"/>
    </xf>
    <xf numFmtId="2" fontId="35" fillId="5" borderId="29" xfId="0" applyNumberFormat="1" applyFont="1" applyFill="1" applyBorder="1" applyAlignment="1">
      <alignment horizontal="center" vertical="center"/>
    </xf>
    <xf numFmtId="0" fontId="11" fillId="12" borderId="47" xfId="0" applyFont="1" applyFill="1" applyBorder="1" applyAlignment="1">
      <alignment horizontal="center" vertical="center"/>
    </xf>
    <xf numFmtId="0" fontId="11" fillId="12" borderId="37" xfId="0" applyFont="1" applyFill="1" applyBorder="1" applyAlignment="1">
      <alignment horizontal="center" vertical="center"/>
    </xf>
    <xf numFmtId="0" fontId="11" fillId="12" borderId="49" xfId="0" applyFont="1" applyFill="1" applyBorder="1" applyAlignment="1">
      <alignment horizontal="center" vertical="center"/>
    </xf>
    <xf numFmtId="0" fontId="11" fillId="12" borderId="52" xfId="0" applyFont="1" applyFill="1" applyBorder="1" applyAlignment="1">
      <alignment horizontal="center" vertical="center"/>
    </xf>
    <xf numFmtId="0" fontId="11" fillId="12" borderId="37" xfId="0" applyFont="1" applyFill="1" applyBorder="1" applyAlignment="1">
      <alignment horizontal="center" vertical="center" wrapText="1"/>
    </xf>
    <xf numFmtId="0" fontId="11" fillId="12" borderId="52" xfId="0" applyFont="1" applyFill="1" applyBorder="1" applyAlignment="1">
      <alignment horizontal="center" vertical="center" wrapText="1"/>
    </xf>
    <xf numFmtId="0" fontId="34" fillId="11" borderId="74" xfId="0" applyFont="1" applyFill="1" applyBorder="1" applyAlignment="1">
      <alignment horizontal="center" wrapText="1"/>
    </xf>
    <xf numFmtId="0" fontId="11" fillId="12" borderId="53" xfId="0" applyFont="1" applyFill="1" applyBorder="1" applyAlignment="1">
      <alignment horizontal="center" vertical="center"/>
    </xf>
    <xf numFmtId="0" fontId="11" fillId="12" borderId="54" xfId="0" applyFont="1" applyFill="1" applyBorder="1" applyAlignment="1">
      <alignment horizontal="center" vertical="center"/>
    </xf>
    <xf numFmtId="0" fontId="11" fillId="12" borderId="31" xfId="0" applyFont="1" applyFill="1" applyBorder="1" applyAlignment="1">
      <alignment horizontal="center" vertical="center" wrapText="1"/>
    </xf>
    <xf numFmtId="0" fontId="11" fillId="12" borderId="34" xfId="0" applyFont="1" applyFill="1" applyBorder="1" applyAlignment="1">
      <alignment horizontal="center" vertical="center" wrapText="1"/>
    </xf>
    <xf numFmtId="0" fontId="40" fillId="13" borderId="17" xfId="0" applyFont="1" applyFill="1" applyBorder="1" applyAlignment="1">
      <alignment horizontal="center" vertical="center"/>
    </xf>
    <xf numFmtId="0" fontId="40" fillId="13" borderId="18" xfId="0" applyFont="1" applyFill="1" applyBorder="1" applyAlignment="1">
      <alignment horizontal="center" vertical="center"/>
    </xf>
    <xf numFmtId="0" fontId="40" fillId="13" borderId="19" xfId="0" applyFont="1" applyFill="1" applyBorder="1" applyAlignment="1">
      <alignment horizontal="center" vertical="center"/>
    </xf>
    <xf numFmtId="0" fontId="40" fillId="13" borderId="27" xfId="0" applyFont="1" applyFill="1" applyBorder="1" applyAlignment="1">
      <alignment horizontal="right" vertical="center"/>
    </xf>
    <xf numFmtId="0" fontId="40" fillId="13" borderId="28" xfId="0" applyFont="1" applyFill="1" applyBorder="1" applyAlignment="1">
      <alignment horizontal="right" vertical="center"/>
    </xf>
    <xf numFmtId="0" fontId="40" fillId="13" borderId="29" xfId="0" applyFont="1" applyFill="1" applyBorder="1" applyAlignment="1">
      <alignment horizontal="right" vertical="center"/>
    </xf>
    <xf numFmtId="0" fontId="40" fillId="5" borderId="27" xfId="0" applyFont="1" applyFill="1" applyBorder="1" applyAlignment="1">
      <alignment horizontal="right" vertical="center"/>
    </xf>
    <xf numFmtId="0" fontId="40" fillId="5" borderId="28" xfId="0" applyFont="1" applyFill="1" applyBorder="1" applyAlignment="1">
      <alignment horizontal="right" vertical="center"/>
    </xf>
    <xf numFmtId="0" fontId="40" fillId="5" borderId="29" xfId="0" applyFont="1" applyFill="1" applyBorder="1" applyAlignment="1">
      <alignment horizontal="right" vertical="center"/>
    </xf>
    <xf numFmtId="0" fontId="40" fillId="5" borderId="17" xfId="0" applyFont="1" applyFill="1" applyBorder="1" applyAlignment="1">
      <alignment horizontal="center" vertical="center"/>
    </xf>
    <xf numFmtId="0" fontId="40" fillId="5" borderId="18" xfId="0" applyFont="1" applyFill="1" applyBorder="1" applyAlignment="1">
      <alignment horizontal="center" vertical="center"/>
    </xf>
    <xf numFmtId="0" fontId="40" fillId="5" borderId="19" xfId="0" applyFont="1" applyFill="1" applyBorder="1" applyAlignment="1">
      <alignment horizontal="center" vertical="center"/>
    </xf>
    <xf numFmtId="0" fontId="42" fillId="12" borderId="32" xfId="0" applyFont="1" applyFill="1" applyBorder="1" applyAlignment="1">
      <alignment horizontal="center" vertical="center" wrapText="1"/>
    </xf>
    <xf numFmtId="0" fontId="40" fillId="5" borderId="27" xfId="0" applyFont="1" applyFill="1" applyBorder="1" applyAlignment="1">
      <alignment horizontal="center" vertical="center"/>
    </xf>
    <xf numFmtId="0" fontId="40" fillId="5" borderId="28" xfId="0" applyFont="1" applyFill="1" applyBorder="1" applyAlignment="1">
      <alignment horizontal="center" vertical="center"/>
    </xf>
    <xf numFmtId="0" fontId="40" fillId="5" borderId="29" xfId="0" applyFont="1" applyFill="1" applyBorder="1" applyAlignment="1">
      <alignment horizontal="center" vertical="center"/>
    </xf>
    <xf numFmtId="0" fontId="42" fillId="12" borderId="95" xfId="0" applyFont="1" applyFill="1" applyBorder="1" applyAlignment="1">
      <alignment horizontal="center" vertical="center"/>
    </xf>
    <xf numFmtId="0" fontId="42" fillId="12" borderId="57" xfId="0" applyFont="1" applyFill="1" applyBorder="1" applyAlignment="1">
      <alignment horizontal="center" vertical="center"/>
    </xf>
    <xf numFmtId="0" fontId="42" fillId="12" borderId="96" xfId="0" applyFont="1" applyFill="1" applyBorder="1" applyAlignment="1">
      <alignment horizontal="center" vertical="center"/>
    </xf>
    <xf numFmtId="0" fontId="42" fillId="12" borderId="20" xfId="0" applyFont="1" applyFill="1" applyBorder="1" applyAlignment="1">
      <alignment horizontal="center" vertical="center"/>
    </xf>
    <xf numFmtId="0" fontId="42" fillId="12" borderId="22" xfId="0" applyFont="1" applyFill="1" applyBorder="1" applyAlignment="1">
      <alignment horizontal="center" vertical="center"/>
    </xf>
    <xf numFmtId="0" fontId="42" fillId="12" borderId="0" xfId="0" applyFont="1" applyFill="1" applyAlignment="1">
      <alignment horizontal="center" vertical="center" wrapText="1"/>
    </xf>
    <xf numFmtId="0" fontId="42" fillId="12" borderId="16" xfId="0" applyFont="1" applyFill="1" applyBorder="1" applyAlignment="1">
      <alignment horizontal="center" vertical="center" wrapText="1"/>
    </xf>
    <xf numFmtId="0" fontId="42" fillId="12" borderId="39" xfId="0" applyFont="1" applyFill="1" applyBorder="1" applyAlignment="1">
      <alignment horizontal="center" vertical="center" wrapText="1"/>
    </xf>
    <xf numFmtId="0" fontId="42" fillId="12" borderId="40" xfId="0" applyFont="1" applyFill="1" applyBorder="1" applyAlignment="1">
      <alignment horizontal="center" vertical="center" wrapText="1"/>
    </xf>
    <xf numFmtId="0" fontId="42" fillId="12" borderId="21" xfId="0" applyFont="1" applyFill="1" applyBorder="1" applyAlignment="1">
      <alignment horizontal="center" vertical="center" wrapText="1"/>
    </xf>
    <xf numFmtId="0" fontId="42" fillId="12" borderId="23" xfId="0" applyFont="1" applyFill="1" applyBorder="1" applyAlignment="1">
      <alignment horizontal="center" vertical="center" wrapText="1"/>
    </xf>
    <xf numFmtId="0" fontId="42" fillId="12" borderId="77" xfId="0" applyFont="1" applyFill="1" applyBorder="1" applyAlignment="1">
      <alignment horizontal="center" vertical="center" wrapText="1"/>
    </xf>
    <xf numFmtId="0" fontId="42" fillId="12" borderId="78" xfId="0" applyFont="1" applyFill="1" applyBorder="1" applyAlignment="1">
      <alignment horizontal="center" vertical="center" wrapText="1"/>
    </xf>
    <xf numFmtId="0" fontId="0" fillId="0" borderId="37" xfId="0" applyBorder="1" applyAlignment="1"/>
    <xf numFmtId="0" fontId="40" fillId="5" borderId="24" xfId="0" applyFont="1" applyFill="1" applyBorder="1" applyAlignment="1">
      <alignment horizontal="right" vertical="center"/>
    </xf>
    <xf numFmtId="0" fontId="40" fillId="5" borderId="25" xfId="0" applyFont="1" applyFill="1" applyBorder="1" applyAlignment="1">
      <alignment horizontal="right" vertical="center"/>
    </xf>
    <xf numFmtId="0" fontId="40" fillId="5" borderId="26" xfId="0" applyFont="1" applyFill="1" applyBorder="1" applyAlignment="1">
      <alignment horizontal="right" vertical="center"/>
    </xf>
    <xf numFmtId="0" fontId="9" fillId="13" borderId="9" xfId="0" applyFont="1" applyFill="1" applyBorder="1" applyAlignment="1">
      <alignment horizontal="center" vertical="center"/>
    </xf>
    <xf numFmtId="0" fontId="9" fillId="13" borderId="16" xfId="0" applyFont="1" applyFill="1" applyBorder="1" applyAlignment="1">
      <alignment horizontal="center" vertical="center"/>
    </xf>
    <xf numFmtId="0" fontId="0" fillId="0" borderId="53" xfId="0" applyBorder="1" applyAlignment="1"/>
    <xf numFmtId="0" fontId="0" fillId="0" borderId="54" xfId="0" applyBorder="1" applyAlignment="1"/>
    <xf numFmtId="0" fontId="0" fillId="0" borderId="55" xfId="0" applyBorder="1" applyAlignment="1"/>
    <xf numFmtId="0" fontId="0" fillId="0" borderId="53" xfId="0" applyBorder="1" applyAlignment="1">
      <alignment horizontal="left"/>
    </xf>
    <xf numFmtId="0" fontId="0" fillId="0" borderId="54" xfId="0" applyBorder="1" applyAlignment="1">
      <alignment horizontal="left"/>
    </xf>
    <xf numFmtId="0" fontId="0" fillId="0" borderId="55" xfId="0" applyBorder="1" applyAlignment="1">
      <alignment horizontal="left"/>
    </xf>
    <xf numFmtId="0" fontId="0" fillId="0" borderId="0" xfId="0" applyAlignment="1">
      <alignment horizontal="left" vertical="center" wrapText="1"/>
    </xf>
    <xf numFmtId="0" fontId="0" fillId="0" borderId="0" xfId="0" applyAlignment="1">
      <alignment horizontal="left" vertical="top" wrapText="1"/>
    </xf>
    <xf numFmtId="0" fontId="11" fillId="13" borderId="45" xfId="0" applyFont="1" applyFill="1" applyBorder="1" applyAlignment="1">
      <alignment horizontal="center" vertical="center"/>
    </xf>
    <xf numFmtId="0" fontId="11" fillId="13" borderId="51" xfId="0" applyFont="1" applyFill="1" applyBorder="1" applyAlignment="1">
      <alignment horizontal="center" vertical="center"/>
    </xf>
    <xf numFmtId="0" fontId="11" fillId="13" borderId="46" xfId="0" applyFont="1" applyFill="1" applyBorder="1" applyAlignment="1">
      <alignment horizontal="center" vertical="center"/>
    </xf>
    <xf numFmtId="0" fontId="25" fillId="0" borderId="20" xfId="0" applyFont="1" applyBorder="1" applyAlignment="1">
      <alignment horizontal="left"/>
    </xf>
    <xf numFmtId="0" fontId="25" fillId="0" borderId="0" xfId="0" applyFont="1" applyAlignment="1">
      <alignment horizontal="left"/>
    </xf>
    <xf numFmtId="0" fontId="25" fillId="0" borderId="24" xfId="0" applyFont="1" applyBorder="1" applyAlignment="1">
      <alignment horizontal="left"/>
    </xf>
    <xf numFmtId="0" fontId="25" fillId="0" borderId="25" xfId="0" applyFont="1" applyBorder="1" applyAlignment="1">
      <alignment horizontal="left"/>
    </xf>
    <xf numFmtId="0" fontId="9" fillId="13" borderId="27" xfId="0" applyFont="1" applyFill="1" applyBorder="1" applyAlignment="1">
      <alignment horizontal="center" vertical="center" wrapText="1"/>
    </xf>
    <xf numFmtId="0" fontId="9" fillId="13" borderId="29" xfId="0" applyFont="1" applyFill="1" applyBorder="1" applyAlignment="1">
      <alignment horizontal="center" vertical="center"/>
    </xf>
    <xf numFmtId="0" fontId="10" fillId="0" borderId="18" xfId="0" applyFont="1" applyBorder="1" applyAlignment="1">
      <alignment horizontal="left" vertical="top"/>
    </xf>
    <xf numFmtId="0" fontId="10" fillId="0" borderId="0" xfId="0" applyFont="1" applyAlignment="1">
      <alignment horizontal="left" vertical="top"/>
    </xf>
    <xf numFmtId="0" fontId="61" fillId="0" borderId="0" xfId="0" applyFont="1" applyAlignment="1">
      <alignment horizontal="center"/>
    </xf>
    <xf numFmtId="0" fontId="36" fillId="0" borderId="30" xfId="4" applyFont="1" applyBorder="1" applyAlignment="1">
      <alignment horizontal="left" vertical="top" wrapText="1"/>
    </xf>
    <xf numFmtId="0" fontId="36" fillId="0" borderId="0" xfId="4" applyFont="1" applyBorder="1" applyAlignment="1">
      <alignment horizontal="left" vertical="top" wrapText="1"/>
    </xf>
    <xf numFmtId="0" fontId="36" fillId="0" borderId="0" xfId="4" applyFont="1" applyAlignment="1">
      <alignment horizontal="left"/>
    </xf>
    <xf numFmtId="0" fontId="5" fillId="0" borderId="62" xfId="0" applyFont="1" applyBorder="1" applyAlignment="1">
      <alignment horizontal="center" vertical="center"/>
    </xf>
    <xf numFmtId="0" fontId="5" fillId="0" borderId="42" xfId="0" applyFont="1" applyBorder="1" applyAlignment="1">
      <alignment horizontal="center" vertical="center"/>
    </xf>
    <xf numFmtId="0" fontId="5" fillId="0" borderId="81" xfId="0" applyFont="1" applyBorder="1" applyAlignment="1">
      <alignment horizontal="center" vertical="center"/>
    </xf>
    <xf numFmtId="0" fontId="9" fillId="13" borderId="27" xfId="0" applyFont="1" applyFill="1" applyBorder="1" applyAlignment="1">
      <alignment horizontal="center" vertical="center"/>
    </xf>
    <xf numFmtId="0" fontId="9" fillId="13" borderId="28" xfId="0" applyFont="1" applyFill="1" applyBorder="1" applyAlignment="1">
      <alignment horizontal="center" vertical="center"/>
    </xf>
    <xf numFmtId="0" fontId="5" fillId="0" borderId="97" xfId="0" applyFont="1" applyBorder="1" applyAlignment="1">
      <alignment horizontal="center" vertical="center"/>
    </xf>
    <xf numFmtId="0" fontId="5" fillId="0" borderId="41" xfId="0" applyFont="1" applyBorder="1" applyAlignment="1">
      <alignment horizontal="center" vertical="center"/>
    </xf>
    <xf numFmtId="0" fontId="9" fillId="5" borderId="27" xfId="0" applyFont="1" applyFill="1" applyBorder="1" applyAlignment="1">
      <alignment horizontal="center" vertical="center"/>
    </xf>
    <xf numFmtId="0" fontId="9" fillId="5" borderId="28" xfId="0" applyFont="1" applyFill="1" applyBorder="1" applyAlignment="1">
      <alignment horizontal="center" vertical="center"/>
    </xf>
    <xf numFmtId="0" fontId="5" fillId="2" borderId="62"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81" xfId="0" applyFont="1" applyFill="1" applyBorder="1" applyAlignment="1">
      <alignment horizontal="center" vertical="center"/>
    </xf>
    <xf numFmtId="0" fontId="4" fillId="2" borderId="98" xfId="0" applyFont="1" applyFill="1" applyBorder="1" applyAlignment="1">
      <alignment horizontal="center"/>
    </xf>
    <xf numFmtId="0" fontId="4" fillId="2" borderId="41" xfId="0" applyFont="1" applyFill="1" applyBorder="1" applyAlignment="1">
      <alignment horizontal="center"/>
    </xf>
    <xf numFmtId="0" fontId="36" fillId="2" borderId="62" xfId="4" applyFont="1" applyFill="1" applyBorder="1" applyAlignment="1">
      <alignment horizontal="center" vertical="center" wrapText="1"/>
    </xf>
    <xf numFmtId="0" fontId="36" fillId="2" borderId="42" xfId="4" applyFont="1" applyFill="1" applyBorder="1" applyAlignment="1">
      <alignment horizontal="center" vertical="center" wrapText="1"/>
    </xf>
    <xf numFmtId="0" fontId="36" fillId="2" borderId="66" xfId="4" applyFont="1" applyFill="1" applyBorder="1" applyAlignment="1">
      <alignment horizontal="center" vertical="center" wrapText="1"/>
    </xf>
    <xf numFmtId="0" fontId="6" fillId="0" borderId="83" xfId="0" applyFont="1" applyBorder="1" applyAlignment="1">
      <alignment horizontal="center" vertical="center"/>
    </xf>
    <xf numFmtId="0" fontId="36" fillId="3" borderId="83" xfId="4" applyFont="1" applyFill="1" applyBorder="1" applyAlignment="1">
      <alignment horizontal="center" vertical="center" wrapText="1"/>
    </xf>
    <xf numFmtId="0" fontId="36" fillId="3" borderId="88" xfId="4" applyFont="1" applyFill="1" applyBorder="1" applyAlignment="1">
      <alignment horizontal="center" vertical="center" wrapText="1"/>
    </xf>
    <xf numFmtId="0" fontId="36" fillId="2" borderId="89" xfId="4" applyFont="1" applyFill="1" applyBorder="1" applyAlignment="1">
      <alignment horizontal="center" vertical="center" wrapText="1"/>
    </xf>
    <xf numFmtId="0" fontId="36" fillId="2" borderId="91" xfId="4" applyFont="1" applyFill="1" applyBorder="1" applyAlignment="1">
      <alignment horizontal="center" vertical="center" wrapText="1"/>
    </xf>
    <xf numFmtId="0" fontId="31" fillId="2" borderId="62" xfId="4" applyFont="1" applyFill="1" applyBorder="1" applyAlignment="1">
      <alignment horizontal="center" vertical="center" wrapText="1"/>
    </xf>
    <xf numFmtId="0" fontId="31" fillId="2" borderId="42" xfId="4" applyFont="1" applyFill="1" applyBorder="1" applyAlignment="1">
      <alignment horizontal="center" vertical="center" wrapText="1"/>
    </xf>
    <xf numFmtId="0" fontId="31" fillId="2" borderId="41" xfId="4" applyFont="1" applyFill="1" applyBorder="1" applyAlignment="1">
      <alignment horizontal="center" vertical="center" wrapText="1"/>
    </xf>
    <xf numFmtId="0" fontId="32" fillId="2" borderId="62" xfId="4" applyFont="1" applyFill="1" applyBorder="1" applyAlignment="1">
      <alignment horizontal="center" vertical="center" wrapText="1"/>
    </xf>
    <xf numFmtId="0" fontId="32" fillId="2" borderId="42" xfId="4" applyFont="1" applyFill="1" applyBorder="1" applyAlignment="1">
      <alignment horizontal="center" vertical="center" wrapText="1"/>
    </xf>
    <xf numFmtId="0" fontId="32" fillId="2" borderId="41" xfId="4" applyFont="1" applyFill="1" applyBorder="1" applyAlignment="1">
      <alignment horizontal="center" vertical="center" wrapText="1"/>
    </xf>
    <xf numFmtId="0" fontId="36" fillId="2" borderId="41" xfId="4" applyFont="1" applyFill="1" applyBorder="1" applyAlignment="1">
      <alignment horizontal="center" vertical="center" wrapText="1"/>
    </xf>
    <xf numFmtId="0" fontId="5" fillId="0" borderId="62"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1" xfId="0" applyFont="1" applyBorder="1" applyAlignment="1">
      <alignment horizontal="center" vertical="center" wrapText="1"/>
    </xf>
    <xf numFmtId="0" fontId="10" fillId="0" borderId="21" xfId="0" applyFont="1" applyBorder="1" applyAlignment="1"/>
    <xf numFmtId="0" fontId="10" fillId="0" borderId="0" xfId="0" applyFont="1" applyAlignment="1"/>
    <xf numFmtId="0" fontId="0" fillId="0" borderId="17" xfId="0" applyBorder="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10" fillId="0" borderId="73" xfId="0" applyFont="1" applyBorder="1" applyAlignment="1"/>
    <xf numFmtId="0" fontId="10" fillId="0" borderId="75" xfId="0" applyFont="1" applyBorder="1" applyAlignment="1"/>
    <xf numFmtId="0" fontId="11" fillId="13" borderId="27" xfId="0" applyFont="1" applyFill="1" applyBorder="1" applyAlignment="1">
      <alignment horizontal="center" vertical="center"/>
    </xf>
    <xf numFmtId="0" fontId="11" fillId="13" borderId="28" xfId="0" applyFont="1" applyFill="1" applyBorder="1" applyAlignment="1">
      <alignment horizontal="center" vertical="center"/>
    </xf>
    <xf numFmtId="0" fontId="11" fillId="13" borderId="29" xfId="0" applyFont="1" applyFill="1" applyBorder="1" applyAlignment="1">
      <alignment horizontal="center" vertical="center"/>
    </xf>
    <xf numFmtId="0" fontId="12" fillId="0" borderId="27" xfId="0" applyFont="1" applyBorder="1" applyAlignment="1">
      <alignment horizontal="center"/>
    </xf>
    <xf numFmtId="0" fontId="12" fillId="0" borderId="28" xfId="0" applyFont="1" applyBorder="1" applyAlignment="1">
      <alignment horizontal="center"/>
    </xf>
    <xf numFmtId="0" fontId="12" fillId="0" borderId="29" xfId="0" applyFont="1" applyBorder="1" applyAlignment="1">
      <alignment horizontal="center"/>
    </xf>
    <xf numFmtId="0" fontId="12" fillId="0" borderId="27" xfId="0" applyFont="1" applyBorder="1" applyAlignment="1">
      <alignment horizontal="center" vertical="center"/>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19" fillId="6" borderId="37" xfId="0" applyFont="1" applyFill="1" applyBorder="1" applyAlignment="1">
      <alignment horizontal="center"/>
    </xf>
    <xf numFmtId="0" fontId="19" fillId="6" borderId="1" xfId="0" applyFont="1" applyFill="1" applyBorder="1" applyAlignment="1">
      <alignment horizontal="center" wrapText="1"/>
    </xf>
    <xf numFmtId="0" fontId="19" fillId="6" borderId="6" xfId="0" applyFont="1" applyFill="1" applyBorder="1" applyAlignment="1">
      <alignment horizontal="center" wrapText="1"/>
    </xf>
    <xf numFmtId="0" fontId="19" fillId="0" borderId="45" xfId="0" applyFont="1" applyBorder="1" applyAlignment="1">
      <alignment horizontal="center"/>
    </xf>
    <xf numFmtId="0" fontId="19" fillId="0" borderId="56" xfId="0" applyFont="1" applyBorder="1" applyAlignment="1">
      <alignment horizontal="center"/>
    </xf>
    <xf numFmtId="0" fontId="19" fillId="0" borderId="51" xfId="0" applyFont="1" applyBorder="1" applyAlignment="1">
      <alignment horizontal="center"/>
    </xf>
    <xf numFmtId="0" fontId="19" fillId="0" borderId="46" xfId="0" applyFont="1" applyBorder="1" applyAlignment="1">
      <alignment horizontal="center"/>
    </xf>
    <xf numFmtId="0" fontId="19" fillId="6" borderId="48" xfId="0" applyFont="1" applyFill="1" applyBorder="1" applyAlignment="1">
      <alignment horizontal="center"/>
    </xf>
    <xf numFmtId="0" fontId="11" fillId="13" borderId="17" xfId="0" applyFont="1" applyFill="1" applyBorder="1" applyAlignment="1">
      <alignment horizontal="center" vertical="center"/>
    </xf>
    <xf numFmtId="0" fontId="11" fillId="13" borderId="18" xfId="0" applyFont="1" applyFill="1" applyBorder="1" applyAlignment="1">
      <alignment horizontal="center" vertical="center"/>
    </xf>
    <xf numFmtId="0" fontId="11" fillId="13" borderId="19" xfId="0" applyFont="1" applyFill="1" applyBorder="1" applyAlignment="1">
      <alignment horizontal="center" vertical="center"/>
    </xf>
    <xf numFmtId="0" fontId="29" fillId="10" borderId="18" xfId="0" applyFont="1" applyFill="1" applyBorder="1" applyAlignment="1">
      <alignment horizontal="center" vertical="center" wrapText="1"/>
    </xf>
    <xf numFmtId="0" fontId="29" fillId="10" borderId="70" xfId="0" applyFont="1" applyFill="1" applyBorder="1" applyAlignment="1">
      <alignment horizontal="center" vertical="center" wrapText="1"/>
    </xf>
    <xf numFmtId="0" fontId="29" fillId="10" borderId="71" xfId="0" applyFont="1" applyFill="1" applyBorder="1" applyAlignment="1">
      <alignment horizontal="center" vertical="center" wrapText="1"/>
    </xf>
    <xf numFmtId="0" fontId="29" fillId="10" borderId="0" xfId="0" applyFont="1" applyFill="1" applyAlignment="1">
      <alignment horizontal="center" vertical="center" wrapText="1"/>
    </xf>
    <xf numFmtId="0" fontId="29" fillId="10" borderId="21" xfId="0" applyFont="1" applyFill="1" applyBorder="1" applyAlignment="1">
      <alignment horizontal="center" vertical="center" wrapText="1"/>
    </xf>
    <xf numFmtId="167" fontId="13" fillId="0" borderId="24" xfId="0" applyNumberFormat="1" applyFont="1" applyBorder="1" applyAlignment="1">
      <alignment horizontal="center"/>
    </xf>
    <xf numFmtId="167" fontId="13" fillId="0" borderId="25" xfId="0" applyNumberFormat="1" applyFont="1" applyBorder="1" applyAlignment="1">
      <alignment horizontal="center"/>
    </xf>
    <xf numFmtId="167" fontId="13" fillId="0" borderId="26" xfId="0" applyNumberFormat="1" applyFont="1" applyBorder="1" applyAlignment="1">
      <alignment horizontal="center"/>
    </xf>
    <xf numFmtId="0" fontId="23" fillId="0" borderId="0" xfId="0" applyFont="1" applyAlignment="1">
      <alignment horizontal="center" vertical="top" wrapText="1"/>
    </xf>
    <xf numFmtId="0" fontId="14" fillId="12" borderId="30"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16" xfId="0" applyFont="1" applyFill="1" applyBorder="1" applyAlignment="1">
      <alignment horizontal="center" vertical="center" wrapText="1"/>
    </xf>
    <xf numFmtId="0" fontId="14" fillId="14" borderId="30"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14" borderId="16" xfId="0" applyFont="1" applyFill="1" applyBorder="1" applyAlignment="1">
      <alignment horizontal="center" vertical="center" wrapText="1"/>
    </xf>
    <xf numFmtId="0" fontId="14" fillId="9" borderId="30" xfId="0" applyFont="1" applyFill="1" applyBorder="1" applyAlignment="1">
      <alignment horizontal="center" vertical="center" wrapText="1"/>
    </xf>
    <xf numFmtId="0" fontId="14" fillId="9" borderId="0" xfId="0" applyFont="1" applyFill="1" applyAlignment="1">
      <alignment horizontal="center" vertical="center" wrapText="1"/>
    </xf>
    <xf numFmtId="0" fontId="14" fillId="9" borderId="16" xfId="0" applyFont="1" applyFill="1" applyBorder="1" applyAlignment="1">
      <alignment horizontal="center" vertical="center" wrapText="1"/>
    </xf>
    <xf numFmtId="0" fontId="0" fillId="0" borderId="0" xfId="0" applyAlignment="1">
      <alignment horizontal="left" vertical="center"/>
    </xf>
    <xf numFmtId="0" fontId="56" fillId="13" borderId="17" xfId="0" applyFont="1" applyFill="1" applyBorder="1" applyAlignment="1">
      <alignment horizontal="center"/>
    </xf>
    <xf numFmtId="0" fontId="56" fillId="13" borderId="18" xfId="0" applyFont="1" applyFill="1" applyBorder="1" applyAlignment="1">
      <alignment horizontal="center"/>
    </xf>
    <xf numFmtId="0" fontId="56" fillId="13" borderId="19" xfId="0" applyFont="1" applyFill="1" applyBorder="1" applyAlignment="1">
      <alignment horizontal="center"/>
    </xf>
    <xf numFmtId="0" fontId="24" fillId="0" borderId="18" xfId="0" applyFont="1" applyBorder="1" applyAlignment="1">
      <alignment horizontal="left" vertical="top" wrapText="1"/>
    </xf>
    <xf numFmtId="0" fontId="24" fillId="0" borderId="0" xfId="0" applyFont="1" applyAlignment="1">
      <alignment horizontal="left" vertical="top" wrapText="1"/>
    </xf>
    <xf numFmtId="0" fontId="9" fillId="13" borderId="0" xfId="0" applyFont="1" applyFill="1" applyAlignment="1">
      <alignment horizontal="center"/>
    </xf>
  </cellXfs>
  <cellStyles count="23">
    <cellStyle name="Comma" xfId="1" builtinId="3"/>
    <cellStyle name="Comma 2 4" xfId="18" xr:uid="{338AC2FD-5A45-40E6-A79C-9EE50B5F49AF}"/>
    <cellStyle name="Comma 5" xfId="10" xr:uid="{D1FBB1E6-D93B-44B3-A278-4476A9286FC2}"/>
    <cellStyle name="Currency" xfId="2" builtinId="4"/>
    <cellStyle name="Currency 2 4" xfId="20" xr:uid="{FEAB666C-23AF-4F75-932E-1E8084F59EFD}"/>
    <cellStyle name="Currency 4" xfId="12" xr:uid="{80978EF9-582F-4E5A-9CCD-0CBF4FD0F15D}"/>
    <cellStyle name="Hyperlink" xfId="4" builtinId="8"/>
    <cellStyle name="Hyperlink 2" xfId="7" xr:uid="{880BBC30-8E98-4E4D-AD71-F4C38F30E9BC}"/>
    <cellStyle name="Hyperlink 3" xfId="16" xr:uid="{CFEA629E-689A-4986-9725-2F2B49BAF470}"/>
    <cellStyle name="Hyperlink 4" xfId="5" xr:uid="{8D92F17E-7713-4BFF-9D1B-B866CE700137}"/>
    <cellStyle name="Normal" xfId="0" builtinId="0"/>
    <cellStyle name="Normal 10" xfId="22" xr:uid="{AE7366ED-44DC-4054-8DC6-D67B630E5DB2}"/>
    <cellStyle name="Normal 11" xfId="8" xr:uid="{002CDA69-ED0D-4556-A0BB-E44BE6892AA8}"/>
    <cellStyle name="Normal 16" xfId="13" xr:uid="{B0896FF8-8C10-4CC4-BEFA-50D1D0601C4E}"/>
    <cellStyle name="Normal 2" xfId="15" xr:uid="{3309AEF9-F310-4D9F-AF95-C97AB0E9848A}"/>
    <cellStyle name="Normal 2 2 2 2" xfId="21" xr:uid="{4B071CC7-996B-408E-930E-F51B0B925E96}"/>
    <cellStyle name="Normal 20" xfId="14" xr:uid="{C9943347-1776-4EDA-9C7A-30F40F408860}"/>
    <cellStyle name="Normal 21" xfId="9" xr:uid="{802700BB-3BB4-467B-8A24-1510E406433F}"/>
    <cellStyle name="Normal 3" xfId="6" xr:uid="{128F2C15-6F5C-4218-B442-F856E76A3073}"/>
    <cellStyle name="Normal 4" xfId="17" xr:uid="{6868D701-FA2B-45D9-A44B-8BCC2E677DFC}"/>
    <cellStyle name="Percent" xfId="3" builtinId="5"/>
    <cellStyle name="Percent 10" xfId="11" xr:uid="{E6196DDC-750F-43D6-97F2-1856E5507B6D}"/>
    <cellStyle name="Percent 3" xfId="19" xr:uid="{3DA5FC31-1208-44B3-82B5-74418B8D2EA5}"/>
  </cellStyles>
  <dxfs count="0"/>
  <tableStyles count="0" defaultTableStyle="TableStyleMedium2" defaultPivotStyle="PivotStyleLight16"/>
  <colors>
    <mruColors>
      <color rgb="FF005695"/>
      <color rgb="FF0096D6"/>
      <color rgb="FFCCEE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23648</xdr:colOff>
      <xdr:row>0</xdr:row>
      <xdr:rowOff>185901</xdr:rowOff>
    </xdr:from>
    <xdr:to>
      <xdr:col>2</xdr:col>
      <xdr:colOff>1519073</xdr:colOff>
      <xdr:row>5</xdr:row>
      <xdr:rowOff>55140</xdr:rowOff>
    </xdr:to>
    <xdr:pic>
      <xdr:nvPicPr>
        <xdr:cNvPr id="4" name="Picture 3" descr="A picture containing text, clipart&#10;&#10;Description automatically generated">
          <a:extLst>
            <a:ext uri="{FF2B5EF4-FFF2-40B4-BE49-F238E27FC236}">
              <a16:creationId xmlns:a16="http://schemas.microsoft.com/office/drawing/2014/main" id="{ABD2E980-BA47-DE55-0FFE-D82930D89608}"/>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tretch>
          <a:fillRect/>
        </a:stretch>
      </xdr:blipFill>
      <xdr:spPr>
        <a:xfrm>
          <a:off x="634562" y="185901"/>
          <a:ext cx="2106339" cy="867722"/>
        </a:xfrm>
        <a:prstGeom prst="rect">
          <a:avLst/>
        </a:prstGeom>
      </xdr:spPr>
    </xdr:pic>
    <xdr:clientData/>
  </xdr:twoCellAnchor>
  <xdr:twoCellAnchor editAs="oneCell">
    <xdr:from>
      <xdr:col>10</xdr:col>
      <xdr:colOff>400707</xdr:colOff>
      <xdr:row>1</xdr:row>
      <xdr:rowOff>13140</xdr:rowOff>
    </xdr:from>
    <xdr:to>
      <xdr:col>14</xdr:col>
      <xdr:colOff>3169</xdr:colOff>
      <xdr:row>5</xdr:row>
      <xdr:rowOff>110618</xdr:rowOff>
    </xdr:to>
    <xdr:pic>
      <xdr:nvPicPr>
        <xdr:cNvPr id="5" name="Picture 4">
          <a:extLst>
            <a:ext uri="{FF2B5EF4-FFF2-40B4-BE49-F238E27FC236}">
              <a16:creationId xmlns:a16="http://schemas.microsoft.com/office/drawing/2014/main" id="{15B133ED-11B1-7515-0B0E-933708CE0018}"/>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10000" b="90000" l="10000" r="90000">
                      <a14:foregroundMark x1="20021" y1="64748" x2="20021" y2="64748"/>
                      <a14:foregroundMark x1="18630" y1="57554" x2="20021" y2="61631"/>
                      <a14:foregroundMark x1="25375" y1="64748" x2="28480" y2="67146"/>
                      <a14:foregroundMark x1="30621" y1="68585" x2="30621" y2="68585"/>
                      <a14:foregroundMark x1="19914" y1="63789" x2="16702" y2="53957"/>
                      <a14:foregroundMark x1="48715" y1="37410" x2="44111" y2="36211"/>
                      <a14:foregroundMark x1="54925" y1="39568" x2="54925" y2="46523"/>
                      <a14:foregroundMark x1="78051" y1="34293" x2="80300" y2="34772"/>
                      <a14:foregroundMark x1="26017" y1="49400" x2="26017" y2="49400"/>
                      <a14:foregroundMark x1="24090" y1="47242" x2="23662" y2="46283"/>
                      <a14:foregroundMark x1="29979" y1="46043" x2="29550" y2="41007"/>
                      <a14:foregroundMark x1="29015" y1="39329" x2="29443" y2="43165"/>
                      <a14:foregroundMark x1="28908" y1="37410" x2="28908" y2="37410"/>
                      <a14:foregroundMark x1="28908" y1="37410" x2="28908" y2="37410"/>
                      <a14:foregroundMark x1="28908" y1="37410" x2="28908" y2="37410"/>
                      <a14:foregroundMark x1="27088" y1="34293" x2="29657" y2="45084"/>
                      <a14:foregroundMark x1="26874" y1="33573" x2="26874" y2="33573"/>
                      <a14:foregroundMark x1="26445" y1="32614" x2="26981" y2="33813"/>
                      <a14:foregroundMark x1="28266" y1="32614" x2="28266" y2="32614"/>
                      <a14:foregroundMark x1="26767" y1="34293" x2="26767" y2="34293"/>
                      <a14:foregroundMark x1="27195" y1="34053" x2="27195" y2="34053"/>
                      <a14:foregroundMark x1="26981" y1="34053" x2="26981" y2="34053"/>
                      <a14:foregroundMark x1="27088" y1="34053" x2="27516" y2="34053"/>
                      <a14:foregroundMark x1="29550" y1="43165" x2="29979" y2="48441"/>
                      <a14:foregroundMark x1="30300" y1="47242" x2="30514" y2="50839"/>
                      <a14:foregroundMark x1="30300" y1="49640" x2="30621" y2="57554"/>
                      <a14:foregroundMark x1="30728" y1="54916" x2="30835" y2="60432"/>
                      <a14:foregroundMark x1="30621" y1="60671" x2="30621" y2="60671"/>
                      <a14:foregroundMark x1="30728" y1="59952" x2="30728" y2="61151"/>
                      <a14:foregroundMark x1="30835" y1="59712" x2="30835" y2="60568"/>
                      <a14:foregroundMark x1="30835" y1="60568" x2="30835" y2="59952"/>
                      <a14:foregroundMark x1="30728" y1="60833" x2="30728" y2="59952"/>
                      <a14:foregroundMark x1="60814" y1="48201" x2="61563" y2="50839"/>
                      <a14:backgroundMark x1="30835" y1="63309" x2="30835" y2="63309"/>
                      <a14:backgroundMark x1="32120" y1="63070" x2="31892" y2="61151"/>
                      <a14:backgroundMark x1="31692" y1="64988" x2="31156" y2="62350"/>
                      <a14:backgroundMark x1="32013" y1="65707" x2="31263" y2="63070"/>
                      <a14:backgroundMark x1="30878" y1="63166" x2="31049" y2="63070"/>
                      <a14:backgroundMark x1="30621" y1="63309" x2="31280" y2="62941"/>
                      <a14:backgroundMark x1="30407" y1="61631" x2="30835" y2="62110"/>
                      <a14:backgroundMark x1="30514" y1="61391" x2="30514" y2="61391"/>
                      <a14:backgroundMark x1="30407" y1="68825" x2="30407" y2="68825"/>
                    </a14:backgroundRemoval>
                  </a14:imgEffect>
                </a14:imgLayer>
              </a14:imgProps>
            </a:ext>
          </a:extLst>
        </a:blip>
        <a:stretch>
          <a:fillRect/>
        </a:stretch>
      </xdr:blipFill>
      <xdr:spPr>
        <a:xfrm>
          <a:off x="7173310" y="203640"/>
          <a:ext cx="2040321" cy="90546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mtengr-my.sharepoint.com/personal/mdemoss_cmtengr_com/Documents/Public%20Shared%20Links/OTO/FIX%20I-44%20INFRA/2022%200518%20MPDG%20Final%20Application/FY%2022%20BCA%20Model_FIX%20I-44_Unformat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CA Discount Summary"/>
      <sheetName val="BCA Result Summary"/>
      <sheetName val="1. Travel Time Savings"/>
      <sheetName val="2. Safety"/>
      <sheetName val="3. Emissions"/>
      <sheetName val="4. O&amp;M"/>
      <sheetName val="5. SOGR"/>
      <sheetName val="6. Reliability"/>
      <sheetName val=" 7. Noise"/>
      <sheetName val="8. PED &amp; Cycling"/>
      <sheetName val="Fixed Inputs &amp; Assumptions"/>
      <sheetName val="Traffic Inputs"/>
      <sheetName val="HSM Safety Inputs"/>
      <sheetName val="Queue Attributed Crashes"/>
      <sheetName val="I-44 Incident Repo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67">
          <cell r="D67">
            <v>0.1875</v>
          </cell>
          <cell r="E67">
            <v>0.5625</v>
          </cell>
          <cell r="F67">
            <v>4.5</v>
          </cell>
          <cell r="G67">
            <v>5.25</v>
          </cell>
        </row>
      </sheetData>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hyperlink" Target="https://www.transportation.gov/sites/dot.gov/files/2022-03/Benefit%20Cost%20Analysis%20Guidance%202022%20%28Revised%29.pdf" TargetMode="External"/><Relationship Id="rId13" Type="http://schemas.openxmlformats.org/officeDocument/2006/relationships/hyperlink" Target="https://nepis.epa.gov/Exe/ZyNET.exe/P100EVXV.TXT?ZyActionD=ZyDocument&amp;Client=EPA&amp;Index=2006+Thru+2010&amp;Docs=&amp;Query=&amp;Time=&amp;EndTime=&amp;SearchMethod=1&amp;TocRestrict=n&amp;Toc=&amp;TocEntry=&amp;QField=&amp;QFieldYear=&amp;QFieldMonth=&amp;QFieldDay=&amp;IntQFieldOp=0&amp;ExtQFieldOp=0&amp;XmlQuery=&amp;File=D%3A%5Czyfiles%5CIndex%20Data%5C06thru10%5CTxt%5C00000033%5CP100EVXV.txt&amp;User=ANONYMOUS&amp;Password=anonymous&amp;SortMethod=h%7C-&amp;MaximumDocuments=1&amp;FuzzyDegree=0&amp;ImageQuality=r75g8/r75g8/x150y150g16/i425&amp;Display=hpfr&amp;DefSeekPage=x&amp;SearchBack=ZyActionL&amp;Back=ZyActionS&amp;BackDesc=Results%20page&amp;MaximumPages=1&amp;ZyEntry=1&amp;SeekPage=x&amp;ZyPURL" TargetMode="External"/><Relationship Id="rId3" Type="http://schemas.openxmlformats.org/officeDocument/2006/relationships/hyperlink" Target="https://www.anl.gov/sites/www/files/2018-02/idling_worksheet.pdf" TargetMode="External"/><Relationship Id="rId7" Type="http://schemas.openxmlformats.org/officeDocument/2006/relationships/hyperlink" Target="https://www.transportation.gov/sites/dot.gov/files/2022-03/Benefit%20Cost%20Analysis%20Guidance%202022%20%28Revised%29.pdf" TargetMode="External"/><Relationship Id="rId12" Type="http://schemas.openxmlformats.org/officeDocument/2006/relationships/hyperlink" Target="https://www.transportation.gov/sites/dot.gov/files/2020-01/benefit-cost-analysis-guidance-2020_0.pdf" TargetMode="External"/><Relationship Id="rId2" Type="http://schemas.openxmlformats.org/officeDocument/2006/relationships/hyperlink" Target="https://nepis.epa.gov/Exe/ZyPDF.cgi?Dockey=P100U8YT.pdf" TargetMode="External"/><Relationship Id="rId1" Type="http://schemas.openxmlformats.org/officeDocument/2006/relationships/hyperlink" Target="https://www.epa.gov/greenvehicles/greenhouse-gas-emissions-typical-passenger-vehicle" TargetMode="External"/><Relationship Id="rId6" Type="http://schemas.openxmlformats.org/officeDocument/2006/relationships/hyperlink" Target="https://www.transportation.gov/sites/dot.gov/files/2022-03/Benefit%20Cost%20Analysis%20Guidance%202022%20%28Revised%29.pdf" TargetMode="External"/><Relationship Id="rId11" Type="http://schemas.openxmlformats.org/officeDocument/2006/relationships/hyperlink" Target="https://www.transportation.gov/sites/dot.gov/files/2022-03/Benefit%20Cost%20Analysis%20Guidance%202022%20%28Revised%29.pdf" TargetMode="External"/><Relationship Id="rId5" Type="http://schemas.openxmlformats.org/officeDocument/2006/relationships/hyperlink" Target="https://www.transportation.gov/sites/dot.gov/files/2022-03/Benefit%20Cost%20Analysis%20Guidance%202022%20%28Revised%29.pdf" TargetMode="External"/><Relationship Id="rId10" Type="http://schemas.openxmlformats.org/officeDocument/2006/relationships/hyperlink" Target="https://www.modot.org/sites/default/files/documents/2022%20MoDOT%20State%20Freight%20and%20Rail%20Plan_1.pdf" TargetMode="External"/><Relationship Id="rId4" Type="http://schemas.openxmlformats.org/officeDocument/2006/relationships/hyperlink" Target="https://www.transportation.gov/sites/dot.gov/files/2022-03/Benefit%20Cost%20Analysis%20Guidance%202022%20%28Revised%29.pdf" TargetMode="External"/><Relationship Id="rId9" Type="http://schemas.openxmlformats.org/officeDocument/2006/relationships/hyperlink" Target="https://www.transportation.gov/sites/dot.gov/files/2022-03/Benefit%20Cost%20Analysis%20Guidance%202022%20%28Revised%29.pdf" TargetMode="External"/><Relationship Id="rId14"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3" Type="http://schemas.openxmlformats.org/officeDocument/2006/relationships/hyperlink" Target="https://datazoneapps.modot.mo.gov/bi/apps/crashes/AccidentImage.ashx?id=2190003367" TargetMode="External"/><Relationship Id="rId18" Type="http://schemas.openxmlformats.org/officeDocument/2006/relationships/hyperlink" Target="https://datazoneapps.modot.mo.gov/bi/apps/crashes/AccidentImage.ashx?id=2190034440" TargetMode="External"/><Relationship Id="rId26" Type="http://schemas.openxmlformats.org/officeDocument/2006/relationships/hyperlink" Target="https://datazoneapps.modot.mo.gov/bi/apps/crashes/AccidentImage.ashx?id=2190057965" TargetMode="External"/><Relationship Id="rId39" Type="http://schemas.openxmlformats.org/officeDocument/2006/relationships/hyperlink" Target="https://datazoneapps.modot.mo.gov/bi/apps/crashes/AccidentImage.ashx?id=2200065684" TargetMode="External"/><Relationship Id="rId21" Type="http://schemas.openxmlformats.org/officeDocument/2006/relationships/hyperlink" Target="https://datazoneapps.modot.mo.gov/bi/apps/crashes/AccidentImage.ashx?id=2190047570" TargetMode="External"/><Relationship Id="rId34" Type="http://schemas.openxmlformats.org/officeDocument/2006/relationships/hyperlink" Target="https://datazoneapps.modot.mo.gov/bi/apps/crashes/AccidentImage.ashx?id=2200041347" TargetMode="External"/><Relationship Id="rId42" Type="http://schemas.openxmlformats.org/officeDocument/2006/relationships/hyperlink" Target="https://datazoneapps.modot.mo.gov/bi/apps/crashes/AccidentImage.ashx?id=2210020175" TargetMode="External"/><Relationship Id="rId47" Type="http://schemas.openxmlformats.org/officeDocument/2006/relationships/hyperlink" Target="https://datazoneapps.modot.mo.gov/bi/apps/crashes/AccidentImage.ashx?id=2210065367" TargetMode="External"/><Relationship Id="rId50" Type="http://schemas.openxmlformats.org/officeDocument/2006/relationships/hyperlink" Target="https://datazoneapps.modot.mo.gov/bi/apps/crashes/AccidentImage.ashx?id=2210075848" TargetMode="External"/><Relationship Id="rId55" Type="http://schemas.openxmlformats.org/officeDocument/2006/relationships/hyperlink" Target="https://datazoneapps.modot.mo.gov/bi/apps/crashes/AccidentImage.ashx?id=3210027207" TargetMode="External"/><Relationship Id="rId7" Type="http://schemas.openxmlformats.org/officeDocument/2006/relationships/hyperlink" Target="https://datazoneapps.modot.mo.gov/bi/apps/crashes/AccidentImage.ashx?id=2180051255" TargetMode="External"/><Relationship Id="rId2" Type="http://schemas.openxmlformats.org/officeDocument/2006/relationships/hyperlink" Target="https://datazoneapps.modot.mo.gov/bi/apps/crashes/AccidentImage.ashx?id=2180017478" TargetMode="External"/><Relationship Id="rId16" Type="http://schemas.openxmlformats.org/officeDocument/2006/relationships/hyperlink" Target="https://datazoneapps.modot.mo.gov/bi/apps/crashes/AccidentImage.ashx?id=2190020176" TargetMode="External"/><Relationship Id="rId29" Type="http://schemas.openxmlformats.org/officeDocument/2006/relationships/hyperlink" Target="https://datazoneapps.modot.mo.gov/bi/apps/crashes/AccidentImage.ashx?id=2190095034" TargetMode="External"/><Relationship Id="rId11" Type="http://schemas.openxmlformats.org/officeDocument/2006/relationships/hyperlink" Target="https://datazoneapps.modot.mo.gov/bi/apps/crashes/AccidentImage.ashx?id=2180073615" TargetMode="External"/><Relationship Id="rId24" Type="http://schemas.openxmlformats.org/officeDocument/2006/relationships/hyperlink" Target="https://datazoneapps.modot.mo.gov/bi/apps/crashes/AccidentImage.ashx?id=2190048623" TargetMode="External"/><Relationship Id="rId32" Type="http://schemas.openxmlformats.org/officeDocument/2006/relationships/hyperlink" Target="https://datazoneapps.modot.mo.gov/bi/apps/crashes/AccidentImage.ashx?id=2200037258" TargetMode="External"/><Relationship Id="rId37" Type="http://schemas.openxmlformats.org/officeDocument/2006/relationships/hyperlink" Target="https://datazoneapps.modot.mo.gov/bi/apps/crashes/AccidentImage.ashx?id=2200045144" TargetMode="External"/><Relationship Id="rId40" Type="http://schemas.openxmlformats.org/officeDocument/2006/relationships/hyperlink" Target="https://datazoneapps.modot.mo.gov/bi/apps/crashes/AccidentImage.ashx?id=2200085311" TargetMode="External"/><Relationship Id="rId45" Type="http://schemas.openxmlformats.org/officeDocument/2006/relationships/hyperlink" Target="https://datazoneapps.modot.mo.gov/bi/apps/crashes/AccidentImage.ashx?id=2210026385" TargetMode="External"/><Relationship Id="rId53" Type="http://schemas.openxmlformats.org/officeDocument/2006/relationships/hyperlink" Target="https://datazoneapps.modot.mo.gov/bi/apps/crashes/AccidentImage.ashx?id=3180015002" TargetMode="External"/><Relationship Id="rId5" Type="http://schemas.openxmlformats.org/officeDocument/2006/relationships/hyperlink" Target="https://datazoneapps.modot.mo.gov/bi/apps/crashes/AccidentImage.ashx?id=2180047632" TargetMode="External"/><Relationship Id="rId10" Type="http://schemas.openxmlformats.org/officeDocument/2006/relationships/hyperlink" Target="https://datazoneapps.modot.mo.gov/bi/apps/crashes/AccidentImage.ashx?id=2180073533" TargetMode="External"/><Relationship Id="rId19" Type="http://schemas.openxmlformats.org/officeDocument/2006/relationships/hyperlink" Target="https://datazoneapps.modot.mo.gov/bi/apps/crashes/AccidentImage.ashx?id=2190036223" TargetMode="External"/><Relationship Id="rId31" Type="http://schemas.openxmlformats.org/officeDocument/2006/relationships/hyperlink" Target="https://datazoneapps.modot.mo.gov/bi/apps/crashes/AccidentImage.ashx?id=2200036241" TargetMode="External"/><Relationship Id="rId44" Type="http://schemas.openxmlformats.org/officeDocument/2006/relationships/hyperlink" Target="https://datazoneapps.modot.mo.gov/bi/apps/crashes/AccidentImage.ashx?id=2210024294" TargetMode="External"/><Relationship Id="rId52" Type="http://schemas.openxmlformats.org/officeDocument/2006/relationships/hyperlink" Target="https://datazoneapps.modot.mo.gov/bi/apps/crashes/AccidentImage.ashx?id=2210114161" TargetMode="External"/><Relationship Id="rId4" Type="http://schemas.openxmlformats.org/officeDocument/2006/relationships/hyperlink" Target="https://datazoneapps.modot.mo.gov/bi/apps/crashes/AccidentImage.ashx?id=2180047049" TargetMode="External"/><Relationship Id="rId9" Type="http://schemas.openxmlformats.org/officeDocument/2006/relationships/hyperlink" Target="https://datazoneapps.modot.mo.gov/bi/apps/crashes/AccidentImage.ashx?id=2180054475" TargetMode="External"/><Relationship Id="rId14" Type="http://schemas.openxmlformats.org/officeDocument/2006/relationships/hyperlink" Target="https://datazoneapps.modot.mo.gov/bi/apps/crashes/AccidentImage.ashx?id=2190017385" TargetMode="External"/><Relationship Id="rId22" Type="http://schemas.openxmlformats.org/officeDocument/2006/relationships/hyperlink" Target="https://datazoneapps.modot.mo.gov/bi/apps/crashes/AccidentImage.ashx?id=2190048218" TargetMode="External"/><Relationship Id="rId27" Type="http://schemas.openxmlformats.org/officeDocument/2006/relationships/hyperlink" Target="https://datazoneapps.modot.mo.gov/bi/apps/crashes/AccidentImage.ashx?id=2190069074" TargetMode="External"/><Relationship Id="rId30" Type="http://schemas.openxmlformats.org/officeDocument/2006/relationships/hyperlink" Target="https://datazoneapps.modot.mo.gov/bi/apps/crashes/AccidentImage.ashx?id=2200003105" TargetMode="External"/><Relationship Id="rId35" Type="http://schemas.openxmlformats.org/officeDocument/2006/relationships/hyperlink" Target="https://datazoneapps.modot.mo.gov/bi/apps/crashes/AccidentImage.ashx?id=2200041626" TargetMode="External"/><Relationship Id="rId43" Type="http://schemas.openxmlformats.org/officeDocument/2006/relationships/hyperlink" Target="https://datazoneapps.modot.mo.gov/bi/apps/crashes/AccidentImage.ashx?id=2210024260" TargetMode="External"/><Relationship Id="rId48" Type="http://schemas.openxmlformats.org/officeDocument/2006/relationships/hyperlink" Target="https://datazoneapps.modot.mo.gov/bi/apps/crashes/AccidentImage.ashx?id=2210066864" TargetMode="External"/><Relationship Id="rId56" Type="http://schemas.openxmlformats.org/officeDocument/2006/relationships/hyperlink" Target="https://datazoneapps.modot.mo.gov/bi/apps/crashes/AccidentImage.ashx?id=3210027208" TargetMode="External"/><Relationship Id="rId8" Type="http://schemas.openxmlformats.org/officeDocument/2006/relationships/hyperlink" Target="https://datazoneapps.modot.mo.gov/bi/apps/crashes/AccidentImage.ashx?id=2180052804" TargetMode="External"/><Relationship Id="rId51" Type="http://schemas.openxmlformats.org/officeDocument/2006/relationships/hyperlink" Target="https://datazoneapps.modot.mo.gov/bi/apps/crashes/AccidentImage.ashx?id=2210100483" TargetMode="External"/><Relationship Id="rId3" Type="http://schemas.openxmlformats.org/officeDocument/2006/relationships/hyperlink" Target="https://datazoneapps.modot.mo.gov/bi/apps/crashes/AccidentImage.ashx?id=2180032944" TargetMode="External"/><Relationship Id="rId12" Type="http://schemas.openxmlformats.org/officeDocument/2006/relationships/hyperlink" Target="https://datazoneapps.modot.mo.gov/bi/apps/crashes/AccidentImage.ashx?id=2180080796" TargetMode="External"/><Relationship Id="rId17" Type="http://schemas.openxmlformats.org/officeDocument/2006/relationships/hyperlink" Target="https://datazoneapps.modot.mo.gov/bi/apps/crashes/AccidentImage.ashx?id=2190020262" TargetMode="External"/><Relationship Id="rId25" Type="http://schemas.openxmlformats.org/officeDocument/2006/relationships/hyperlink" Target="https://datazoneapps.modot.mo.gov/bi/apps/crashes/AccidentImage.ashx?id=2190049206" TargetMode="External"/><Relationship Id="rId33" Type="http://schemas.openxmlformats.org/officeDocument/2006/relationships/hyperlink" Target="https://datazoneapps.modot.mo.gov/bi/apps/crashes/AccidentImage.ashx?id=2200039847" TargetMode="External"/><Relationship Id="rId38" Type="http://schemas.openxmlformats.org/officeDocument/2006/relationships/hyperlink" Target="https://datazoneapps.modot.mo.gov/bi/apps/crashes/AccidentImage.ashx?id=2200057952" TargetMode="External"/><Relationship Id="rId46" Type="http://schemas.openxmlformats.org/officeDocument/2006/relationships/hyperlink" Target="https://datazoneapps.modot.mo.gov/bi/apps/crashes/AccidentImage.ashx?id=2210044651" TargetMode="External"/><Relationship Id="rId20" Type="http://schemas.openxmlformats.org/officeDocument/2006/relationships/hyperlink" Target="https://datazoneapps.modot.mo.gov/bi/apps/crashes/AccidentImage.ashx?id=2190036940" TargetMode="External"/><Relationship Id="rId41" Type="http://schemas.openxmlformats.org/officeDocument/2006/relationships/hyperlink" Target="https://datazoneapps.modot.mo.gov/bi/apps/crashes/AccidentImage.ashx?id=2200085677" TargetMode="External"/><Relationship Id="rId54" Type="http://schemas.openxmlformats.org/officeDocument/2006/relationships/hyperlink" Target="https://datazoneapps.modot.mo.gov/bi/apps/crashes/AccidentImage.ashx?id=3180029637" TargetMode="External"/><Relationship Id="rId1" Type="http://schemas.openxmlformats.org/officeDocument/2006/relationships/hyperlink" Target="https://datazoneapps.modot.mo.gov/bi/apps/crashes/AccidentImage.ashx?id=2180017459" TargetMode="External"/><Relationship Id="rId6" Type="http://schemas.openxmlformats.org/officeDocument/2006/relationships/hyperlink" Target="https://datazoneapps.modot.mo.gov/bi/apps/crashes/AccidentImage.ashx?id=2180051254" TargetMode="External"/><Relationship Id="rId15" Type="http://schemas.openxmlformats.org/officeDocument/2006/relationships/hyperlink" Target="https://datazoneapps.modot.mo.gov/bi/apps/crashes/AccidentImage.ashx?id=2190020151" TargetMode="External"/><Relationship Id="rId23" Type="http://schemas.openxmlformats.org/officeDocument/2006/relationships/hyperlink" Target="https://datazoneapps.modot.mo.gov/bi/apps/crashes/AccidentImage.ashx?id=2190048613" TargetMode="External"/><Relationship Id="rId28" Type="http://schemas.openxmlformats.org/officeDocument/2006/relationships/hyperlink" Target="https://datazoneapps.modot.mo.gov/bi/apps/crashes/AccidentImage.ashx?id=2190091111" TargetMode="External"/><Relationship Id="rId36" Type="http://schemas.openxmlformats.org/officeDocument/2006/relationships/hyperlink" Target="https://datazoneapps.modot.mo.gov/bi/apps/crashes/AccidentImage.ashx?id=2200042068" TargetMode="External"/><Relationship Id="rId49" Type="http://schemas.openxmlformats.org/officeDocument/2006/relationships/hyperlink" Target="https://datazoneapps.modot.mo.gov/bi/apps/crashes/AccidentImage.ashx?id=2210069645"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4D7D0-8DD5-40BF-A14E-C741A0D0D287}">
  <sheetPr>
    <tabColor theme="1" tint="0.34998626667073579"/>
  </sheetPr>
  <dimension ref="B2:Q37"/>
  <sheetViews>
    <sheetView zoomScale="85" zoomScaleNormal="85" workbookViewId="0">
      <selection activeCell="L19" sqref="L19"/>
    </sheetView>
  </sheetViews>
  <sheetFormatPr defaultRowHeight="15"/>
  <cols>
    <col min="3" max="3" width="27.42578125" bestFit="1" customWidth="1"/>
    <col min="4" max="4" width="3" customWidth="1"/>
  </cols>
  <sheetData>
    <row r="2" spans="2:17">
      <c r="B2" s="460"/>
      <c r="C2" s="460"/>
      <c r="D2" s="460"/>
      <c r="E2" s="460"/>
      <c r="F2" s="460"/>
      <c r="G2" s="460"/>
      <c r="H2" s="460"/>
      <c r="I2" s="460"/>
      <c r="J2" s="460"/>
      <c r="K2" s="460"/>
      <c r="L2" s="460"/>
      <c r="M2" s="460"/>
      <c r="N2" s="460"/>
    </row>
    <row r="3" spans="2:17">
      <c r="B3" s="460"/>
      <c r="C3" s="460"/>
      <c r="D3" s="460"/>
      <c r="E3" s="460"/>
      <c r="F3" s="460"/>
      <c r="G3" s="460"/>
      <c r="H3" s="460"/>
      <c r="I3" s="460"/>
      <c r="J3" s="460"/>
      <c r="K3" s="460"/>
      <c r="L3" s="460"/>
      <c r="M3" s="460"/>
      <c r="N3" s="460"/>
    </row>
    <row r="4" spans="2:17">
      <c r="B4" s="460"/>
      <c r="C4" s="460"/>
      <c r="D4" s="460"/>
      <c r="E4" s="460"/>
      <c r="F4" s="460"/>
      <c r="G4" s="460"/>
      <c r="H4" s="460"/>
      <c r="I4" s="460"/>
      <c r="J4" s="460"/>
      <c r="K4" s="460"/>
      <c r="L4" s="460"/>
      <c r="M4" s="460"/>
      <c r="N4" s="460"/>
    </row>
    <row r="5" spans="2:17" ht="18.75">
      <c r="B5" s="460"/>
      <c r="C5" s="489" t="s">
        <v>0</v>
      </c>
      <c r="D5" s="489"/>
      <c r="E5" s="489"/>
      <c r="F5" s="489"/>
      <c r="G5" s="489"/>
      <c r="H5" s="489"/>
      <c r="I5" s="489"/>
      <c r="J5" s="489"/>
      <c r="K5" s="489"/>
      <c r="L5" s="489"/>
      <c r="M5" s="489"/>
      <c r="N5" s="460"/>
    </row>
    <row r="6" spans="2:17" ht="18.75">
      <c r="B6" s="460"/>
      <c r="C6" s="489" t="s">
        <v>1</v>
      </c>
      <c r="D6" s="489"/>
      <c r="E6" s="489"/>
      <c r="F6" s="489"/>
      <c r="G6" s="489"/>
      <c r="H6" s="489"/>
      <c r="I6" s="489"/>
      <c r="J6" s="489"/>
      <c r="K6" s="489"/>
      <c r="L6" s="489"/>
      <c r="M6" s="489"/>
      <c r="N6" s="460"/>
    </row>
    <row r="7" spans="2:17" ht="18.75">
      <c r="B7" s="460"/>
      <c r="C7" s="489" t="s">
        <v>2</v>
      </c>
      <c r="D7" s="489"/>
      <c r="E7" s="489"/>
      <c r="F7" s="489"/>
      <c r="G7" s="489"/>
      <c r="H7" s="489"/>
      <c r="I7" s="489"/>
      <c r="J7" s="489"/>
      <c r="K7" s="489"/>
      <c r="L7" s="489"/>
      <c r="M7" s="489"/>
      <c r="N7" s="460"/>
    </row>
    <row r="8" spans="2:17" ht="18.75">
      <c r="B8" s="460"/>
      <c r="C8" s="490">
        <v>44704</v>
      </c>
      <c r="D8" s="490"/>
      <c r="E8" s="490"/>
      <c r="F8" s="490"/>
      <c r="G8" s="490"/>
      <c r="H8" s="490"/>
      <c r="I8" s="490"/>
      <c r="J8" s="490"/>
      <c r="K8" s="490"/>
      <c r="L8" s="490"/>
      <c r="M8" s="490"/>
      <c r="N8" s="460"/>
    </row>
    <row r="9" spans="2:17" ht="15.75" thickBot="1">
      <c r="B9" s="460"/>
      <c r="C9" s="460"/>
      <c r="D9" s="460"/>
      <c r="E9" s="460"/>
      <c r="F9" s="460"/>
      <c r="G9" s="460"/>
      <c r="H9" s="460"/>
      <c r="I9" s="460"/>
      <c r="J9" s="460"/>
      <c r="K9" s="460"/>
      <c r="L9" s="460"/>
      <c r="M9" s="460"/>
      <c r="N9" s="460"/>
    </row>
    <row r="10" spans="2:17" ht="15" customHeight="1" thickTop="1">
      <c r="B10" s="460"/>
      <c r="C10" s="491" t="s">
        <v>3</v>
      </c>
      <c r="D10" s="492"/>
      <c r="E10" s="492"/>
      <c r="F10" s="492"/>
      <c r="G10" s="492"/>
      <c r="H10" s="492"/>
      <c r="I10" s="492"/>
      <c r="J10" s="492"/>
      <c r="K10" s="492"/>
      <c r="L10" s="492"/>
      <c r="M10" s="493"/>
      <c r="N10" s="460"/>
    </row>
    <row r="11" spans="2:17">
      <c r="B11" s="460"/>
      <c r="C11" s="494"/>
      <c r="D11" s="495"/>
      <c r="E11" s="495"/>
      <c r="F11" s="495"/>
      <c r="G11" s="495"/>
      <c r="H11" s="495"/>
      <c r="I11" s="495"/>
      <c r="J11" s="495"/>
      <c r="K11" s="495"/>
      <c r="L11" s="495"/>
      <c r="M11" s="496"/>
      <c r="N11" s="460"/>
    </row>
    <row r="12" spans="2:17">
      <c r="B12" s="460"/>
      <c r="C12" s="494"/>
      <c r="D12" s="495"/>
      <c r="E12" s="495"/>
      <c r="F12" s="495"/>
      <c r="G12" s="495"/>
      <c r="H12" s="495"/>
      <c r="I12" s="495"/>
      <c r="J12" s="495"/>
      <c r="K12" s="495"/>
      <c r="L12" s="495"/>
      <c r="M12" s="496"/>
      <c r="N12" s="460"/>
    </row>
    <row r="13" spans="2:17">
      <c r="B13" s="460"/>
      <c r="C13" s="494"/>
      <c r="D13" s="495"/>
      <c r="E13" s="495"/>
      <c r="F13" s="495"/>
      <c r="G13" s="495"/>
      <c r="H13" s="495"/>
      <c r="I13" s="495"/>
      <c r="J13" s="495"/>
      <c r="K13" s="495"/>
      <c r="L13" s="495"/>
      <c r="M13" s="496"/>
      <c r="N13" s="460"/>
    </row>
    <row r="14" spans="2:17">
      <c r="B14" s="460"/>
      <c r="C14" s="494"/>
      <c r="D14" s="495"/>
      <c r="E14" s="495"/>
      <c r="F14" s="495"/>
      <c r="G14" s="495"/>
      <c r="H14" s="495"/>
      <c r="I14" s="495"/>
      <c r="J14" s="495"/>
      <c r="K14" s="495"/>
      <c r="L14" s="495"/>
      <c r="M14" s="496"/>
      <c r="N14" s="460"/>
    </row>
    <row r="15" spans="2:17">
      <c r="B15" s="460"/>
      <c r="C15" s="494"/>
      <c r="D15" s="495"/>
      <c r="E15" s="495"/>
      <c r="F15" s="495"/>
      <c r="G15" s="495"/>
      <c r="H15" s="495"/>
      <c r="I15" s="495"/>
      <c r="J15" s="495"/>
      <c r="K15" s="495"/>
      <c r="L15" s="495"/>
      <c r="M15" s="496"/>
      <c r="N15" s="460"/>
    </row>
    <row r="16" spans="2:17">
      <c r="B16" s="460"/>
      <c r="C16" s="494"/>
      <c r="D16" s="495"/>
      <c r="E16" s="495"/>
      <c r="F16" s="495"/>
      <c r="G16" s="495"/>
      <c r="H16" s="495"/>
      <c r="I16" s="495"/>
      <c r="J16" s="495"/>
      <c r="K16" s="495"/>
      <c r="L16" s="495"/>
      <c r="M16" s="496"/>
      <c r="N16" s="460"/>
      <c r="Q16" s="459"/>
    </row>
    <row r="17" spans="2:14">
      <c r="B17" s="460"/>
      <c r="C17" s="494"/>
      <c r="D17" s="495"/>
      <c r="E17" s="495"/>
      <c r="F17" s="495"/>
      <c r="G17" s="495"/>
      <c r="H17" s="495"/>
      <c r="I17" s="495"/>
      <c r="J17" s="495"/>
      <c r="K17" s="495"/>
      <c r="L17" s="495"/>
      <c r="M17" s="496"/>
      <c r="N17" s="460"/>
    </row>
    <row r="18" spans="2:14" ht="15.75" thickBot="1">
      <c r="B18" s="460"/>
      <c r="C18" s="497"/>
      <c r="D18" s="498"/>
      <c r="E18" s="498"/>
      <c r="F18" s="498"/>
      <c r="G18" s="498"/>
      <c r="H18" s="498"/>
      <c r="I18" s="498"/>
      <c r="J18" s="498"/>
      <c r="K18" s="498"/>
      <c r="L18" s="498"/>
      <c r="M18" s="499"/>
      <c r="N18" s="460"/>
    </row>
    <row r="19" spans="2:14" ht="15.75" thickTop="1">
      <c r="B19" s="460"/>
      <c r="C19" s="462"/>
      <c r="D19" s="462"/>
      <c r="E19" s="462"/>
      <c r="F19" s="462"/>
      <c r="G19" s="462"/>
      <c r="H19" s="462"/>
      <c r="I19" s="462"/>
      <c r="J19" s="462"/>
      <c r="K19" s="462"/>
      <c r="L19" s="462"/>
      <c r="M19" s="462"/>
      <c r="N19" s="460"/>
    </row>
    <row r="20" spans="2:14" ht="15" customHeight="1">
      <c r="B20" s="460"/>
      <c r="C20" s="487" t="s">
        <v>4</v>
      </c>
      <c r="D20" s="487"/>
      <c r="E20" s="487"/>
      <c r="F20" s="487"/>
      <c r="G20" s="487"/>
      <c r="H20" s="487"/>
      <c r="I20" s="461"/>
      <c r="J20" s="461"/>
      <c r="K20" s="461"/>
      <c r="L20" s="461"/>
      <c r="M20" s="461"/>
      <c r="N20" s="460"/>
    </row>
    <row r="21" spans="2:14">
      <c r="B21" s="460"/>
      <c r="C21" s="463" t="s">
        <v>5</v>
      </c>
      <c r="D21" s="467" t="s">
        <v>6</v>
      </c>
      <c r="E21" s="488" t="s">
        <v>7</v>
      </c>
      <c r="F21" s="488"/>
      <c r="G21" s="488"/>
      <c r="H21" s="488"/>
      <c r="I21" s="488"/>
      <c r="J21" s="488"/>
      <c r="K21" s="488"/>
      <c r="L21" s="488"/>
      <c r="M21" s="488"/>
      <c r="N21" s="460"/>
    </row>
    <row r="22" spans="2:14">
      <c r="B22" s="460"/>
      <c r="C22" s="464" t="s">
        <v>8</v>
      </c>
      <c r="D22" s="467" t="s">
        <v>6</v>
      </c>
      <c r="E22" s="488" t="s">
        <v>9</v>
      </c>
      <c r="F22" s="488"/>
      <c r="G22" s="488"/>
      <c r="H22" s="488"/>
      <c r="I22" s="488"/>
      <c r="J22" s="488"/>
      <c r="K22" s="488"/>
      <c r="L22" s="488"/>
      <c r="M22" s="488"/>
      <c r="N22" s="460"/>
    </row>
    <row r="23" spans="2:14">
      <c r="B23" s="460"/>
      <c r="C23" s="464" t="s">
        <v>10</v>
      </c>
      <c r="D23" s="467" t="s">
        <v>6</v>
      </c>
      <c r="E23" s="488" t="s">
        <v>11</v>
      </c>
      <c r="F23" s="488"/>
      <c r="G23" s="488"/>
      <c r="H23" s="488"/>
      <c r="I23" s="488"/>
      <c r="J23" s="488"/>
      <c r="K23" s="488"/>
      <c r="L23" s="488"/>
      <c r="M23" s="488"/>
      <c r="N23" s="460"/>
    </row>
    <row r="24" spans="2:14">
      <c r="B24" s="460"/>
      <c r="C24" s="466" t="s">
        <v>12</v>
      </c>
      <c r="D24" s="467" t="s">
        <v>6</v>
      </c>
      <c r="E24" s="488" t="s">
        <v>13</v>
      </c>
      <c r="F24" s="488"/>
      <c r="G24" s="488"/>
      <c r="H24" s="488"/>
      <c r="I24" s="488"/>
      <c r="J24" s="488"/>
      <c r="K24" s="488"/>
      <c r="L24" s="488"/>
      <c r="M24" s="488"/>
      <c r="N24" s="460"/>
    </row>
    <row r="25" spans="2:14">
      <c r="B25" s="460"/>
      <c r="C25" s="463" t="s">
        <v>14</v>
      </c>
      <c r="D25" s="467" t="s">
        <v>6</v>
      </c>
      <c r="E25" s="488" t="s">
        <v>15</v>
      </c>
      <c r="F25" s="488"/>
      <c r="G25" s="488"/>
      <c r="H25" s="488"/>
      <c r="I25" s="488"/>
      <c r="J25" s="488"/>
      <c r="K25" s="488"/>
      <c r="L25" s="488"/>
      <c r="M25" s="488"/>
      <c r="N25" s="460"/>
    </row>
    <row r="26" spans="2:14">
      <c r="B26" s="460"/>
      <c r="C26" s="463" t="s">
        <v>16</v>
      </c>
      <c r="D26" s="467" t="s">
        <v>6</v>
      </c>
      <c r="E26" s="488" t="s">
        <v>17</v>
      </c>
      <c r="F26" s="488"/>
      <c r="G26" s="488"/>
      <c r="H26" s="488"/>
      <c r="I26" s="488"/>
      <c r="J26" s="488"/>
      <c r="K26" s="488"/>
      <c r="L26" s="488"/>
      <c r="M26" s="488"/>
      <c r="N26" s="460"/>
    </row>
    <row r="27" spans="2:14">
      <c r="B27" s="460"/>
      <c r="C27" s="463" t="s">
        <v>18</v>
      </c>
      <c r="D27" s="467" t="s">
        <v>6</v>
      </c>
      <c r="E27" s="488" t="s">
        <v>19</v>
      </c>
      <c r="F27" s="488"/>
      <c r="G27" s="488"/>
      <c r="H27" s="488"/>
      <c r="I27" s="488"/>
      <c r="J27" s="488"/>
      <c r="K27" s="488"/>
      <c r="L27" s="488"/>
      <c r="M27" s="488"/>
      <c r="N27" s="460"/>
    </row>
    <row r="28" spans="2:14">
      <c r="B28" s="460"/>
      <c r="C28" s="463" t="s">
        <v>20</v>
      </c>
      <c r="D28" s="467" t="s">
        <v>6</v>
      </c>
      <c r="E28" s="488" t="s">
        <v>21</v>
      </c>
      <c r="F28" s="488"/>
      <c r="G28" s="488"/>
      <c r="H28" s="488"/>
      <c r="I28" s="488"/>
      <c r="J28" s="488"/>
      <c r="K28" s="488"/>
      <c r="L28" s="488"/>
      <c r="M28" s="488"/>
      <c r="N28" s="460"/>
    </row>
    <row r="29" spans="2:14">
      <c r="B29" s="460"/>
      <c r="C29" s="465" t="s">
        <v>22</v>
      </c>
      <c r="D29" s="467" t="s">
        <v>6</v>
      </c>
      <c r="E29" s="488" t="s">
        <v>23</v>
      </c>
      <c r="F29" s="488"/>
      <c r="G29" s="488"/>
      <c r="H29" s="488"/>
      <c r="I29" s="488"/>
      <c r="J29" s="488"/>
      <c r="K29" s="488"/>
      <c r="L29" s="488"/>
      <c r="M29" s="488"/>
      <c r="N29" s="460"/>
    </row>
    <row r="30" spans="2:14">
      <c r="B30" s="460"/>
      <c r="C30" s="465"/>
      <c r="D30" s="467"/>
      <c r="E30" s="468"/>
      <c r="F30" s="468"/>
      <c r="G30" s="468"/>
      <c r="H30" s="468"/>
      <c r="I30" s="468"/>
      <c r="J30" s="468"/>
      <c r="K30" s="468"/>
      <c r="L30" s="468"/>
      <c r="M30" s="468"/>
      <c r="N30" s="460"/>
    </row>
    <row r="31" spans="2:14">
      <c r="B31" s="460"/>
      <c r="C31" s="487" t="s">
        <v>24</v>
      </c>
      <c r="D31" s="487"/>
      <c r="E31" s="487"/>
      <c r="F31" s="487"/>
      <c r="G31" s="487"/>
      <c r="H31" s="487"/>
      <c r="I31" s="468"/>
      <c r="J31" s="468"/>
      <c r="K31" s="468"/>
      <c r="L31" s="468"/>
      <c r="M31" s="468"/>
      <c r="N31" s="460"/>
    </row>
    <row r="32" spans="2:14">
      <c r="B32" s="460"/>
      <c r="C32" s="469" t="s">
        <v>25</v>
      </c>
      <c r="D32" s="467" t="s">
        <v>6</v>
      </c>
      <c r="E32" s="486" t="s">
        <v>26</v>
      </c>
      <c r="F32" s="486"/>
      <c r="G32" s="486"/>
      <c r="H32" s="486"/>
      <c r="I32" s="486"/>
      <c r="J32" s="486"/>
      <c r="K32" s="486"/>
      <c r="L32" s="486"/>
      <c r="M32" s="486"/>
      <c r="N32" s="460"/>
    </row>
    <row r="33" spans="2:14">
      <c r="B33" s="460"/>
      <c r="C33" s="469" t="s">
        <v>27</v>
      </c>
      <c r="D33" s="467" t="s">
        <v>6</v>
      </c>
      <c r="E33" s="486" t="s">
        <v>28</v>
      </c>
      <c r="F33" s="486"/>
      <c r="G33" s="486"/>
      <c r="H33" s="486"/>
      <c r="I33" s="486"/>
      <c r="J33" s="486"/>
      <c r="K33" s="486"/>
      <c r="L33" s="486"/>
      <c r="M33" s="486"/>
      <c r="N33" s="460"/>
    </row>
    <row r="34" spans="2:14">
      <c r="B34" s="460"/>
      <c r="C34" s="469" t="s">
        <v>29</v>
      </c>
      <c r="D34" s="467" t="s">
        <v>6</v>
      </c>
      <c r="E34" s="486" t="s">
        <v>30</v>
      </c>
      <c r="F34" s="486"/>
      <c r="G34" s="486"/>
      <c r="H34" s="486"/>
      <c r="I34" s="486"/>
      <c r="J34" s="486"/>
      <c r="K34" s="486"/>
      <c r="L34" s="486"/>
      <c r="M34" s="486"/>
      <c r="N34" s="460"/>
    </row>
    <row r="35" spans="2:14">
      <c r="B35" s="460"/>
      <c r="C35" s="469" t="s">
        <v>31</v>
      </c>
      <c r="D35" s="467" t="s">
        <v>6</v>
      </c>
      <c r="E35" s="486" t="s">
        <v>32</v>
      </c>
      <c r="F35" s="486"/>
      <c r="G35" s="486"/>
      <c r="H35" s="486"/>
      <c r="I35" s="486"/>
      <c r="J35" s="486"/>
      <c r="K35" s="486"/>
      <c r="L35" s="486"/>
      <c r="M35" s="486"/>
      <c r="N35" s="460"/>
    </row>
    <row r="36" spans="2:14">
      <c r="B36" s="460"/>
      <c r="C36" s="469" t="s">
        <v>33</v>
      </c>
      <c r="D36" s="467" t="s">
        <v>6</v>
      </c>
      <c r="E36" s="486" t="s">
        <v>34</v>
      </c>
      <c r="F36" s="486"/>
      <c r="G36" s="486"/>
      <c r="H36" s="486"/>
      <c r="I36" s="486"/>
      <c r="J36" s="486"/>
      <c r="K36" s="486"/>
      <c r="L36" s="486"/>
      <c r="M36" s="486"/>
      <c r="N36" s="460"/>
    </row>
    <row r="37" spans="2:14">
      <c r="B37" s="460"/>
      <c r="C37" s="460"/>
      <c r="D37" s="460"/>
      <c r="E37" s="460"/>
      <c r="F37" s="460"/>
      <c r="G37" s="460"/>
      <c r="H37" s="460"/>
      <c r="I37" s="460"/>
      <c r="J37" s="460"/>
      <c r="K37" s="460"/>
      <c r="L37" s="460"/>
      <c r="M37" s="460"/>
      <c r="N37" s="460"/>
    </row>
  </sheetData>
  <mergeCells count="21">
    <mergeCell ref="E21:M21"/>
    <mergeCell ref="C5:M5"/>
    <mergeCell ref="C6:M6"/>
    <mergeCell ref="C7:M7"/>
    <mergeCell ref="C8:M8"/>
    <mergeCell ref="C20:H20"/>
    <mergeCell ref="C10:M18"/>
    <mergeCell ref="E22:M22"/>
    <mergeCell ref="E23:M23"/>
    <mergeCell ref="E24:M24"/>
    <mergeCell ref="E25:M25"/>
    <mergeCell ref="E26:M26"/>
    <mergeCell ref="E34:M34"/>
    <mergeCell ref="E35:M35"/>
    <mergeCell ref="E36:M36"/>
    <mergeCell ref="C31:H31"/>
    <mergeCell ref="E27:M27"/>
    <mergeCell ref="E28:M28"/>
    <mergeCell ref="E29:M29"/>
    <mergeCell ref="E32:M32"/>
    <mergeCell ref="E33:M33"/>
  </mergeCells>
  <hyperlinks>
    <hyperlink ref="C21" location="'BCA Result Summary'!A1" display="BCA Result Summary" xr:uid="{33E2D659-FBD6-4709-94AC-A7EE4282E216}"/>
    <hyperlink ref="C22" location="'BCA Discount Summary'!A1" display="BCA Discount Summary" xr:uid="{142B7412-8015-43B3-94D7-9EA2B963F614}"/>
    <hyperlink ref="C23" location="'1. Travel Time Savings'!A1" display="1. Travel Time Savings" xr:uid="{76D1E84B-8E82-4B6F-99CE-F4D5A9BB47F2}"/>
    <hyperlink ref="C24" location="'2. Safety'!A1" display="2. Safety" xr:uid="{FE659B2F-189F-427A-BF05-A9B7D5643C5E}"/>
    <hyperlink ref="C25" location="'3. Emissions'!A1" display="3. Emissions" xr:uid="{97D290B4-EB7F-4A05-A6A9-B6CBE6910053}"/>
    <hyperlink ref="C26" location="'4. O&amp;M'!A1" display="4. O&amp;M" xr:uid="{659E5D53-F3A8-4ED1-BFBE-878AF9BCA824}"/>
    <hyperlink ref="C27" location="'5. SOGR'!A1" display="5. SOGR" xr:uid="{38DC5DA7-F1CA-4871-B0C1-A6B07A4C0B3E}"/>
    <hyperlink ref="C28" location="' 7. Noise'!A1" display="7. Noise" xr:uid="{A91635BF-65F1-4FC1-8929-E96EF1C82227}"/>
    <hyperlink ref="C29" location="'8. PED &amp; Cycling'!A1" display="8. PED &amp; Cycling" xr:uid="{04EC7934-2188-4F4A-A6D3-9370F7D2AA6F}"/>
    <hyperlink ref="C32" location="'Fixed Inputs &amp; Assumptions'!A1" display="Fixed Inputs &amp; Assumptions" xr:uid="{BF15D2A6-E87D-4EAE-94F0-44A87ABE8FF7}"/>
    <hyperlink ref="C33" location="'Traffic Inputs'!A1" display="Traffic Inputs" xr:uid="{BAB4D56E-6130-4650-9AF9-4C5661D000B9}"/>
    <hyperlink ref="C34" location="'HSM Safety Inputs'!A1" display="HSM Safety Inputs" xr:uid="{94385C99-5395-4675-816E-7C84D3C0DA6B}"/>
    <hyperlink ref="C35" location="'Queue Attributed Crashes'!A1" display="Queue Attributed Crashes" xr:uid="{DD7B2BB4-B47C-41EC-B2EE-40BEB180E3F7}"/>
    <hyperlink ref="C36" location="'I-44 Incident Reports'!A1" display="I-44 Incident Reports" xr:uid="{CA78C46C-B39E-409F-ACE1-CA21A8D44A71}"/>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9C2D5-8BF5-43A4-A5A9-DC7499CEDC56}">
  <sheetPr>
    <tabColor rgb="FF0096D6"/>
    <pageSetUpPr fitToPage="1"/>
  </sheetPr>
  <dimension ref="B1:L38"/>
  <sheetViews>
    <sheetView zoomScale="85" zoomScaleNormal="85" workbookViewId="0">
      <selection activeCell="K21" sqref="K21"/>
    </sheetView>
  </sheetViews>
  <sheetFormatPr defaultRowHeight="15"/>
  <cols>
    <col min="2" max="2" width="8.7109375" customWidth="1"/>
    <col min="3" max="4" width="17.85546875" customWidth="1"/>
    <col min="5" max="5" width="15.7109375" customWidth="1"/>
    <col min="6" max="6" width="18.28515625" customWidth="1"/>
    <col min="7" max="7" width="22.7109375" customWidth="1"/>
    <col min="10" max="10" width="17.42578125" bestFit="1" customWidth="1"/>
    <col min="11" max="11" width="35" bestFit="1" customWidth="1"/>
    <col min="12" max="12" width="17.85546875" customWidth="1"/>
    <col min="13" max="13" width="16.140625" customWidth="1"/>
  </cols>
  <sheetData>
    <row r="1" spans="2:12" ht="15.75" thickBot="1"/>
    <row r="2" spans="2:12" ht="24.95" customHeight="1" thickBot="1">
      <c r="B2" s="534" t="s">
        <v>223</v>
      </c>
      <c r="C2" s="535"/>
      <c r="D2" s="535"/>
      <c r="E2" s="535"/>
      <c r="F2" s="535"/>
      <c r="G2" s="536"/>
    </row>
    <row r="3" spans="2:12" ht="45" customHeight="1" thickBot="1">
      <c r="B3" s="280" t="s">
        <v>52</v>
      </c>
      <c r="C3" s="281" t="s">
        <v>68</v>
      </c>
      <c r="D3" s="281" t="s">
        <v>224</v>
      </c>
      <c r="E3" s="281" t="s">
        <v>225</v>
      </c>
      <c r="F3" s="282" t="s">
        <v>71</v>
      </c>
      <c r="G3" s="404" t="s">
        <v>154</v>
      </c>
      <c r="K3" s="575" t="s">
        <v>226</v>
      </c>
      <c r="L3" s="576"/>
    </row>
    <row r="4" spans="2:12">
      <c r="B4" s="269">
        <v>0</v>
      </c>
      <c r="C4" s="270">
        <v>2022</v>
      </c>
      <c r="D4" s="271">
        <v>0</v>
      </c>
      <c r="E4" s="271">
        <v>0</v>
      </c>
      <c r="F4" s="272">
        <v>0</v>
      </c>
      <c r="G4" s="310">
        <f>F4/(1.07^(C4-2020))</f>
        <v>0</v>
      </c>
      <c r="K4" s="116" t="s">
        <v>227</v>
      </c>
      <c r="L4" s="119">
        <v>2.5</v>
      </c>
    </row>
    <row r="5" spans="2:12">
      <c r="B5" s="356">
        <v>1</v>
      </c>
      <c r="C5" s="357">
        <v>2023</v>
      </c>
      <c r="D5" s="358">
        <v>0</v>
      </c>
      <c r="E5" s="358">
        <v>0</v>
      </c>
      <c r="F5" s="359">
        <v>0</v>
      </c>
      <c r="G5" s="406">
        <f t="shared" ref="G5:G34" si="0">F5/(1.07^(C5-2020))</f>
        <v>0</v>
      </c>
      <c r="K5" s="116" t="s">
        <v>228</v>
      </c>
      <c r="L5" s="160">
        <f>SUM('Traffic Inputs'!H104:I104)*L4*365</f>
        <v>47042112.5</v>
      </c>
    </row>
    <row r="6" spans="2:12">
      <c r="B6" s="269">
        <v>2</v>
      </c>
      <c r="C6" s="270">
        <v>2024</v>
      </c>
      <c r="D6" s="271">
        <v>0</v>
      </c>
      <c r="E6" s="271">
        <v>0</v>
      </c>
      <c r="F6" s="272">
        <v>0</v>
      </c>
      <c r="G6" s="310">
        <f t="shared" si="0"/>
        <v>0</v>
      </c>
      <c r="K6" s="116" t="s">
        <v>229</v>
      </c>
      <c r="L6" s="160">
        <f>SUM('Traffic Inputs'!H105:I105)*L4*365</f>
        <v>57557762.5</v>
      </c>
    </row>
    <row r="7" spans="2:12" ht="15.75" thickBot="1">
      <c r="B7" s="356">
        <v>3</v>
      </c>
      <c r="C7" s="357" t="s">
        <v>62</v>
      </c>
      <c r="D7" s="358">
        <v>0</v>
      </c>
      <c r="E7" s="358">
        <v>0</v>
      </c>
      <c r="F7" s="359">
        <f>(D7*'Fixed Inputs &amp; Assumptions'!$C$107)+(E7*'Fixed Inputs &amp; Assumptions'!$C$110)</f>
        <v>0</v>
      </c>
      <c r="G7" s="406">
        <f>F7/(1.07^(2025-2020))</f>
        <v>0</v>
      </c>
      <c r="K7" s="68" t="s">
        <v>230</v>
      </c>
      <c r="L7" s="161">
        <f>(L6-L5)/(2052-2025)</f>
        <v>389468.51851851854</v>
      </c>
    </row>
    <row r="8" spans="2:12">
      <c r="B8" s="269">
        <v>4</v>
      </c>
      <c r="C8" s="270" t="s">
        <v>63</v>
      </c>
      <c r="D8" s="274">
        <f>(L6+L7)*'Fixed Inputs &amp; Assumptions'!$C$34*(1/'Fixed Inputs &amp; Assumptions'!$C$31)</f>
        <v>14293650.317901233</v>
      </c>
      <c r="E8" s="274">
        <f>(L5+L7)*'Fixed Inputs &amp; Assumptions'!$C$33*(1/'Fixed Inputs &amp; Assumptions'!$C$31)</f>
        <v>4110737.0216049375</v>
      </c>
      <c r="F8" s="272">
        <f>(D8*'Fixed Inputs &amp; Assumptions'!$C$107)+(E8*'Fixed Inputs &amp; Assumptions'!$C$110)</f>
        <v>185851.17048950616</v>
      </c>
      <c r="G8" s="310">
        <f>F8/(1.07^(2026-2020))</f>
        <v>123840.48224287934</v>
      </c>
      <c r="K8" t="s">
        <v>231</v>
      </c>
    </row>
    <row r="9" spans="2:12">
      <c r="B9" s="356">
        <v>5</v>
      </c>
      <c r="C9" s="357" t="s">
        <v>64</v>
      </c>
      <c r="D9" s="361">
        <f>(L5+(2*L7))*'Fixed Inputs &amp; Assumptions'!$C$34*(2/'Fixed Inputs &amp; Assumptions'!$C$31)</f>
        <v>23591717.77160494</v>
      </c>
      <c r="E9" s="361">
        <f>(L5+(2*L7))*'Fixed Inputs &amp; Assumptions'!$C$33*(2/'Fixed Inputs &amp; Assumptions'!$C$31)</f>
        <v>8288981.9197530868</v>
      </c>
      <c r="F9" s="359">
        <f>(D9*'Fixed Inputs &amp; Assumptions'!$C$107)+(E9*'Fixed Inputs &amp; Assumptions'!$C$110)</f>
        <v>365862.90965802467</v>
      </c>
      <c r="G9" s="406">
        <f>F9/(1.07^(2027-2020))</f>
        <v>227841.03255468034</v>
      </c>
    </row>
    <row r="10" spans="2:12">
      <c r="B10" s="269">
        <v>6</v>
      </c>
      <c r="C10" s="270">
        <v>2028</v>
      </c>
      <c r="D10" s="274">
        <f>D9+($L$7*'Fixed Inputs &amp; Assumptions'!$C$34)</f>
        <v>23879924.475308646</v>
      </c>
      <c r="E10" s="274">
        <f>E9+($L$7*'Fixed Inputs &amp; Assumptions'!$C$33)</f>
        <v>8390243.7345679011</v>
      </c>
      <c r="F10" s="272">
        <f>(D10*'Fixed Inputs &amp; Assumptions'!$C$107)+(E10*'Fixed Inputs &amp; Assumptions'!$C$110)</f>
        <v>370332.45037654322</v>
      </c>
      <c r="G10" s="310">
        <f t="shared" si="0"/>
        <v>215536.85783502844</v>
      </c>
    </row>
    <row r="11" spans="2:12">
      <c r="B11" s="356">
        <v>7</v>
      </c>
      <c r="C11" s="357">
        <v>2029</v>
      </c>
      <c r="D11" s="361">
        <f>D10+($L$7*'Fixed Inputs &amp; Assumptions'!$C$34)</f>
        <v>24168131.179012351</v>
      </c>
      <c r="E11" s="361">
        <f>E10+($L$7*'Fixed Inputs &amp; Assumptions'!$C$33)</f>
        <v>8491505.5493827164</v>
      </c>
      <c r="F11" s="359">
        <f>(D11*'Fixed Inputs &amp; Assumptions'!$C$107)+(E11*'Fixed Inputs &amp; Assumptions'!$C$110)</f>
        <v>374801.99109506176</v>
      </c>
      <c r="G11" s="406">
        <f t="shared" si="0"/>
        <v>203867.44974432746</v>
      </c>
    </row>
    <row r="12" spans="2:12">
      <c r="B12" s="269">
        <v>8</v>
      </c>
      <c r="C12" s="270">
        <v>2030</v>
      </c>
      <c r="D12" s="274">
        <f>D11+($L$7*'Fixed Inputs &amp; Assumptions'!$C$34)</f>
        <v>24456337.882716056</v>
      </c>
      <c r="E12" s="274">
        <f>E11+($L$7*'Fixed Inputs &amp; Assumptions'!$C$33)</f>
        <v>8592767.3641975317</v>
      </c>
      <c r="F12" s="272">
        <f>(D12*'Fixed Inputs &amp; Assumptions'!$C$107)+(E12*'Fixed Inputs &amp; Assumptions'!$C$110)</f>
        <v>379271.53181358031</v>
      </c>
      <c r="G12" s="310">
        <f t="shared" si="0"/>
        <v>192802.41472428365</v>
      </c>
    </row>
    <row r="13" spans="2:12">
      <c r="B13" s="356">
        <v>9</v>
      </c>
      <c r="C13" s="357">
        <v>2031</v>
      </c>
      <c r="D13" s="361">
        <f>D12+($L$7*'Fixed Inputs &amp; Assumptions'!$C$34)</f>
        <v>24744544.586419761</v>
      </c>
      <c r="E13" s="361">
        <f>E12+($L$7*'Fixed Inputs &amp; Assumptions'!$C$33)</f>
        <v>8694029.179012347</v>
      </c>
      <c r="F13" s="359">
        <f>(D13*'Fixed Inputs &amp; Assumptions'!$C$107)+(E13*'Fixed Inputs &amp; Assumptions'!$C$110)</f>
        <v>383741.07253209886</v>
      </c>
      <c r="G13" s="406">
        <f t="shared" si="0"/>
        <v>182312.61923804658</v>
      </c>
    </row>
    <row r="14" spans="2:12">
      <c r="B14" s="269">
        <v>10</v>
      </c>
      <c r="C14" s="270">
        <v>2032</v>
      </c>
      <c r="D14" s="274">
        <f>D13+($L$7*'Fixed Inputs &amp; Assumptions'!$C$34)</f>
        <v>25032751.290123466</v>
      </c>
      <c r="E14" s="274">
        <f>E13+($L$7*'Fixed Inputs &amp; Assumptions'!$C$33)</f>
        <v>8795290.9938271623</v>
      </c>
      <c r="F14" s="272">
        <f>(D14*'Fixed Inputs &amp; Assumptions'!$C$107)+(E14*'Fixed Inputs &amp; Assumptions'!$C$110)</f>
        <v>388210.61325061735</v>
      </c>
      <c r="G14" s="310">
        <f t="shared" si="0"/>
        <v>172370.15498745395</v>
      </c>
    </row>
    <row r="15" spans="2:12">
      <c r="B15" s="356">
        <v>11</v>
      </c>
      <c r="C15" s="357">
        <v>2033</v>
      </c>
      <c r="D15" s="361">
        <f>D14+($L$7*'Fixed Inputs &amp; Assumptions'!$C$34)</f>
        <v>25320957.993827172</v>
      </c>
      <c r="E15" s="361">
        <f>E14+($L$7*'Fixed Inputs &amp; Assumptions'!$C$33)</f>
        <v>8896552.8086419776</v>
      </c>
      <c r="F15" s="359">
        <f>(D15*'Fixed Inputs &amp; Assumptions'!$C$107)+(E15*'Fixed Inputs &amp; Assumptions'!$C$110)</f>
        <v>392680.15396913595</v>
      </c>
      <c r="G15" s="406">
        <f t="shared" si="0"/>
        <v>162948.30328858845</v>
      </c>
    </row>
    <row r="16" spans="2:12">
      <c r="B16" s="269">
        <v>12</v>
      </c>
      <c r="C16" s="270">
        <v>2034</v>
      </c>
      <c r="D16" s="274">
        <f>D15+($L$7*'Fixed Inputs &amp; Assumptions'!$C$34)</f>
        <v>25609164.697530877</v>
      </c>
      <c r="E16" s="274">
        <f>E15+($L$7*'Fixed Inputs &amp; Assumptions'!$C$33)</f>
        <v>8997814.6234567929</v>
      </c>
      <c r="F16" s="272">
        <f>(D16*'Fixed Inputs &amp; Assumptions'!$C$107)+(E16*'Fixed Inputs &amp; Assumptions'!$C$110)</f>
        <v>397149.69468765444</v>
      </c>
      <c r="G16" s="310">
        <f t="shared" si="0"/>
        <v>154021.49886463908</v>
      </c>
    </row>
    <row r="17" spans="2:7">
      <c r="B17" s="356">
        <v>13</v>
      </c>
      <c r="C17" s="357">
        <v>2035</v>
      </c>
      <c r="D17" s="361">
        <f>D16+($L$7*'Fixed Inputs &amp; Assumptions'!$C$34)</f>
        <v>25897371.401234582</v>
      </c>
      <c r="E17" s="361">
        <f>E16+($L$7*'Fixed Inputs &amp; Assumptions'!$C$33)</f>
        <v>9099076.4382716082</v>
      </c>
      <c r="F17" s="359">
        <f>(D17*'Fixed Inputs &amp; Assumptions'!$C$107)+(E17*'Fixed Inputs &amp; Assumptions'!$C$110)</f>
        <v>401619.23540617299</v>
      </c>
      <c r="G17" s="406">
        <f t="shared" si="0"/>
        <v>145565.29328477525</v>
      </c>
    </row>
    <row r="18" spans="2:7">
      <c r="B18" s="269">
        <v>14</v>
      </c>
      <c r="C18" s="270">
        <v>2036</v>
      </c>
      <c r="D18" s="274">
        <f>D17+($L$7*'Fixed Inputs &amp; Assumptions'!$C$34)</f>
        <v>26185578.104938287</v>
      </c>
      <c r="E18" s="274">
        <f>E17+($L$7*'Fixed Inputs &amp; Assumptions'!$C$33)</f>
        <v>9200338.2530864235</v>
      </c>
      <c r="F18" s="272">
        <f>(D18*'Fixed Inputs &amp; Assumptions'!$C$107)+(E18*'Fixed Inputs &amp; Assumptions'!$C$110)</f>
        <v>406088.77612469153</v>
      </c>
      <c r="G18" s="310">
        <f t="shared" si="0"/>
        <v>137556.31825031005</v>
      </c>
    </row>
    <row r="19" spans="2:7">
      <c r="B19" s="356">
        <v>15</v>
      </c>
      <c r="C19" s="357">
        <v>2037</v>
      </c>
      <c r="D19" s="361">
        <f>D18+($L$7*'Fixed Inputs &amp; Assumptions'!$C$34)</f>
        <v>26473784.808641993</v>
      </c>
      <c r="E19" s="361">
        <f>E18+($L$7*'Fixed Inputs &amp; Assumptions'!$C$33)</f>
        <v>9301600.0679012388</v>
      </c>
      <c r="F19" s="359">
        <f>(D19*'Fixed Inputs &amp; Assumptions'!$C$107)+(E19*'Fixed Inputs &amp; Assumptions'!$C$110)</f>
        <v>410558.31684321008</v>
      </c>
      <c r="G19" s="406">
        <f t="shared" si="0"/>
        <v>129972.24890461024</v>
      </c>
    </row>
    <row r="20" spans="2:7">
      <c r="B20" s="269">
        <v>16</v>
      </c>
      <c r="C20" s="270">
        <v>2038</v>
      </c>
      <c r="D20" s="274">
        <f>D19+($L$7*'Fixed Inputs &amp; Assumptions'!$C$34)</f>
        <v>26761991.512345698</v>
      </c>
      <c r="E20" s="274">
        <f>E19+($L$7*'Fixed Inputs &amp; Assumptions'!$C$33)</f>
        <v>9402861.8827160541</v>
      </c>
      <c r="F20" s="272">
        <f>(D20*'Fixed Inputs &amp; Assumptions'!$C$107)+(E20*'Fixed Inputs &amp; Assumptions'!$C$110)</f>
        <v>415027.85756172857</v>
      </c>
      <c r="G20" s="310">
        <f t="shared" si="0"/>
        <v>122791.76732077547</v>
      </c>
    </row>
    <row r="21" spans="2:7">
      <c r="B21" s="356">
        <v>17</v>
      </c>
      <c r="C21" s="357">
        <v>2039</v>
      </c>
      <c r="D21" s="361">
        <f>D20+($L$7*'Fixed Inputs &amp; Assumptions'!$C$34)</f>
        <v>27050198.216049403</v>
      </c>
      <c r="E21" s="361">
        <f>E20+($L$7*'Fixed Inputs &amp; Assumptions'!$C$33)</f>
        <v>9504123.6975308694</v>
      </c>
      <c r="F21" s="359">
        <f>(D21*'Fixed Inputs &amp; Assumptions'!$C$107)+(E21*'Fixed Inputs &amp; Assumptions'!$C$110)</f>
        <v>419497.39828024717</v>
      </c>
      <c r="G21" s="406">
        <f t="shared" si="0"/>
        <v>115994.52630085534</v>
      </c>
    </row>
    <row r="22" spans="2:7">
      <c r="B22" s="269">
        <v>18</v>
      </c>
      <c r="C22" s="270">
        <v>2040</v>
      </c>
      <c r="D22" s="274">
        <f>D21+($L$7*'Fixed Inputs &amp; Assumptions'!$C$34)</f>
        <v>27338404.919753108</v>
      </c>
      <c r="E22" s="274">
        <f>E21+($L$7*'Fixed Inputs &amp; Assumptions'!$C$33)</f>
        <v>9605385.5123456847</v>
      </c>
      <c r="F22" s="272">
        <f>(D22*'Fixed Inputs &amp; Assumptions'!$C$107)+(E22*'Fixed Inputs &amp; Assumptions'!$C$110)</f>
        <v>423966.93899876572</v>
      </c>
      <c r="G22" s="310">
        <f t="shared" si="0"/>
        <v>109561.11360210934</v>
      </c>
    </row>
    <row r="23" spans="2:7">
      <c r="B23" s="356">
        <v>19</v>
      </c>
      <c r="C23" s="357">
        <v>2041</v>
      </c>
      <c r="D23" s="361">
        <f>D22+($L$7*'Fixed Inputs &amp; Assumptions'!$C$34)</f>
        <v>27626611.623456813</v>
      </c>
      <c r="E23" s="361">
        <f>E22+($L$7*'Fixed Inputs &amp; Assumptions'!$C$33)</f>
        <v>9706647.3271605</v>
      </c>
      <c r="F23" s="359">
        <f>(D23*'Fixed Inputs &amp; Assumptions'!$C$107)+(E23*'Fixed Inputs &amp; Assumptions'!$C$110)</f>
        <v>428436.47971728421</v>
      </c>
      <c r="G23" s="406">
        <f t="shared" si="0"/>
        <v>103473.01668936903</v>
      </c>
    </row>
    <row r="24" spans="2:7">
      <c r="B24" s="269">
        <v>20</v>
      </c>
      <c r="C24" s="270">
        <v>2042</v>
      </c>
      <c r="D24" s="274">
        <f>D23+($L$7*'Fixed Inputs &amp; Assumptions'!$C$34)</f>
        <v>27914818.327160519</v>
      </c>
      <c r="E24" s="274">
        <f>E23+($L$7*'Fixed Inputs &amp; Assumptions'!$C$33)</f>
        <v>9807909.1419753153</v>
      </c>
      <c r="F24" s="272">
        <f>(D24*'Fixed Inputs &amp; Assumptions'!$C$107)+(E24*'Fixed Inputs &amp; Assumptions'!$C$110)</f>
        <v>432906.02043580281</v>
      </c>
      <c r="G24" s="310">
        <f t="shared" si="0"/>
        <v>97712.588097773099</v>
      </c>
    </row>
    <row r="25" spans="2:7">
      <c r="B25" s="356">
        <v>21</v>
      </c>
      <c r="C25" s="357">
        <v>2043</v>
      </c>
      <c r="D25" s="361">
        <f>D24+($L$7*'Fixed Inputs &amp; Assumptions'!$C$34)</f>
        <v>28203025.030864224</v>
      </c>
      <c r="E25" s="361">
        <f>E24+($L$7*'Fixed Inputs &amp; Assumptions'!$C$33)</f>
        <v>9909170.9567901306</v>
      </c>
      <c r="F25" s="359">
        <f>(D25*'Fixed Inputs &amp; Assumptions'!$C$107)+(E25*'Fixed Inputs &amp; Assumptions'!$C$110)</f>
        <v>437375.5611543213</v>
      </c>
      <c r="G25" s="406">
        <f t="shared" si="0"/>
        <v>92263.011476867308</v>
      </c>
    </row>
    <row r="26" spans="2:7">
      <c r="B26" s="269">
        <v>22</v>
      </c>
      <c r="C26" s="270">
        <v>2044</v>
      </c>
      <c r="D26" s="274">
        <f>D25+($L$7*'Fixed Inputs &amp; Assumptions'!$C$34)</f>
        <v>28491231.734567929</v>
      </c>
      <c r="E26" s="274">
        <f>E25+($L$7*'Fixed Inputs &amp; Assumptions'!$C$33)</f>
        <v>10010432.771604946</v>
      </c>
      <c r="F26" s="272">
        <f>(D26*'Fixed Inputs &amp; Assumptions'!$C$107)+(E26*'Fixed Inputs &amp; Assumptions'!$C$110)</f>
        <v>441845.10187283985</v>
      </c>
      <c r="G26" s="310">
        <f t="shared" si="0"/>
        <v>87108.268375161962</v>
      </c>
    </row>
    <row r="27" spans="2:7">
      <c r="B27" s="356">
        <v>23</v>
      </c>
      <c r="C27" s="357">
        <v>2045</v>
      </c>
      <c r="D27" s="361">
        <f>D26+($L$7*'Fixed Inputs &amp; Assumptions'!$C$34)</f>
        <v>28779438.438271634</v>
      </c>
      <c r="E27" s="361">
        <f>E26+($L$7*'Fixed Inputs &amp; Assumptions'!$C$33)</f>
        <v>10111694.586419761</v>
      </c>
      <c r="F27" s="359">
        <f>(D27*'Fixed Inputs &amp; Assumptions'!$C$107)+(E27*'Fixed Inputs &amp; Assumptions'!$C$110)</f>
        <v>446314.6425913584</v>
      </c>
      <c r="G27" s="406">
        <f t="shared" si="0"/>
        <v>82233.105813590097</v>
      </c>
    </row>
    <row r="28" spans="2:7">
      <c r="B28" s="269">
        <v>24</v>
      </c>
      <c r="C28" s="270">
        <v>2046</v>
      </c>
      <c r="D28" s="274">
        <f>D27+($L$7*'Fixed Inputs &amp; Assumptions'!$C$34)</f>
        <v>29067645.14197534</v>
      </c>
      <c r="E28" s="274">
        <f>E27+($L$7*'Fixed Inputs &amp; Assumptions'!$C$33)</f>
        <v>10212956.401234576</v>
      </c>
      <c r="F28" s="272">
        <f>(D28*'Fixed Inputs &amp; Assumptions'!$C$107)+(E28*'Fixed Inputs &amp; Assumptions'!$C$110)</f>
        <v>450784.18330987694</v>
      </c>
      <c r="G28" s="310">
        <f t="shared" si="0"/>
        <v>77623.004686803091</v>
      </c>
    </row>
    <row r="29" spans="2:7">
      <c r="B29" s="356">
        <v>25</v>
      </c>
      <c r="C29" s="357">
        <v>2047</v>
      </c>
      <c r="D29" s="361">
        <f>D28+($L$7*'Fixed Inputs &amp; Assumptions'!$C$34)</f>
        <v>29355851.845679045</v>
      </c>
      <c r="E29" s="361">
        <f>E28+($L$7*'Fixed Inputs &amp; Assumptions'!$C$33)</f>
        <v>10314218.216049392</v>
      </c>
      <c r="F29" s="359">
        <f>(D29*'Fixed Inputs &amp; Assumptions'!$C$107)+(E29*'Fixed Inputs &amp; Assumptions'!$C$110)</f>
        <v>455253.72402839549</v>
      </c>
      <c r="G29" s="406">
        <f t="shared" si="0"/>
        <v>73264.149022769241</v>
      </c>
    </row>
    <row r="30" spans="2:7">
      <c r="B30" s="269">
        <v>26</v>
      </c>
      <c r="C30" s="270">
        <v>2048</v>
      </c>
      <c r="D30" s="274">
        <f>D29+($L$7*'Fixed Inputs &amp; Assumptions'!$C$34)</f>
        <v>29644058.54938275</v>
      </c>
      <c r="E30" s="274">
        <f>E29+($L$7*'Fixed Inputs &amp; Assumptions'!$C$33)</f>
        <v>10415480.030864207</v>
      </c>
      <c r="F30" s="272">
        <f>(D30*'Fixed Inputs &amp; Assumptions'!$C$107)+(E30*'Fixed Inputs &amp; Assumptions'!$C$110)</f>
        <v>459723.26474691404</v>
      </c>
      <c r="G30" s="310">
        <f t="shared" si="0"/>
        <v>69143.396123611761</v>
      </c>
    </row>
    <row r="31" spans="2:7">
      <c r="B31" s="356">
        <v>27</v>
      </c>
      <c r="C31" s="357">
        <v>2049</v>
      </c>
      <c r="D31" s="361">
        <f>D30+($L$7*'Fixed Inputs &amp; Assumptions'!$C$34)</f>
        <v>29932265.253086455</v>
      </c>
      <c r="E31" s="361">
        <f>E30+($L$7*'Fixed Inputs &amp; Assumptions'!$C$33)</f>
        <v>10516741.845679022</v>
      </c>
      <c r="F31" s="359">
        <f>(D31*'Fixed Inputs &amp; Assumptions'!$C$107)+(E31*'Fixed Inputs &amp; Assumptions'!$C$110)</f>
        <v>464192.80546543258</v>
      </c>
      <c r="G31" s="406">
        <f t="shared" si="0"/>
        <v>65248.247603947857</v>
      </c>
    </row>
    <row r="32" spans="2:7">
      <c r="B32" s="269">
        <v>28</v>
      </c>
      <c r="C32" s="270">
        <v>2050</v>
      </c>
      <c r="D32" s="274">
        <f>D31+($L$7*'Fixed Inputs &amp; Assumptions'!$C$34)</f>
        <v>30220471.95679016</v>
      </c>
      <c r="E32" s="274">
        <f>E31+($L$7*'Fixed Inputs &amp; Assumptions'!$C$33)</f>
        <v>10618003.660493838</v>
      </c>
      <c r="F32" s="272">
        <f>(D32*'Fixed Inputs &amp; Assumptions'!$C$107)+(E32*'Fixed Inputs &amp; Assumptions'!$C$110)</f>
        <v>468662.34618395107</v>
      </c>
      <c r="G32" s="310">
        <f t="shared" si="0"/>
        <v>61566.821337092028</v>
      </c>
    </row>
    <row r="33" spans="2:9">
      <c r="B33" s="356">
        <v>29</v>
      </c>
      <c r="C33" s="357">
        <v>2051</v>
      </c>
      <c r="D33" s="361">
        <f>D32+($L$7*'Fixed Inputs &amp; Assumptions'!$C$34)</f>
        <v>30508678.660493866</v>
      </c>
      <c r="E33" s="361">
        <f>E32+($L$7*'Fixed Inputs &amp; Assumptions'!$C$33)</f>
        <v>10719265.475308653</v>
      </c>
      <c r="F33" s="359">
        <f>(D33*'Fixed Inputs &amp; Assumptions'!$C$107)+(E33*'Fixed Inputs &amp; Assumptions'!$C$110)</f>
        <v>473131.88690246968</v>
      </c>
      <c r="G33" s="406">
        <f t="shared" si="0"/>
        <v>58087.824314288649</v>
      </c>
    </row>
    <row r="34" spans="2:9" ht="15.75" thickBot="1">
      <c r="B34" s="269">
        <v>30</v>
      </c>
      <c r="C34" s="270">
        <v>2052</v>
      </c>
      <c r="D34" s="274">
        <f>D33+($L$7*'Fixed Inputs &amp; Assumptions'!$C$34)</f>
        <v>30796885.364197571</v>
      </c>
      <c r="E34" s="274">
        <f>E33+($L$7*'Fixed Inputs &amp; Assumptions'!$C$33)</f>
        <v>10820527.290123468</v>
      </c>
      <c r="F34" s="326">
        <f>(D34*'Fixed Inputs &amp; Assumptions'!$C$107)+(E34*'Fixed Inputs &amp; Assumptions'!$C$110)</f>
        <v>477601.42762098816</v>
      </c>
      <c r="G34" s="310">
        <f t="shared" si="0"/>
        <v>54800.526417578556</v>
      </c>
    </row>
    <row r="35" spans="2:9" ht="20.100000000000001" customHeight="1" thickBot="1">
      <c r="B35" s="531" t="s">
        <v>73</v>
      </c>
      <c r="C35" s="532"/>
      <c r="D35" s="532"/>
      <c r="E35" s="532"/>
      <c r="F35" s="532"/>
      <c r="G35" s="277">
        <f>SUM(G4:G34)</f>
        <v>3319506.0411022161</v>
      </c>
    </row>
    <row r="36" spans="2:9" ht="15" customHeight="1">
      <c r="B36" t="s">
        <v>74</v>
      </c>
      <c r="C36" s="43"/>
      <c r="D36" s="43"/>
      <c r="E36" s="43"/>
      <c r="F36" s="43"/>
      <c r="G36" s="43"/>
      <c r="H36" s="43"/>
      <c r="I36" t="s">
        <v>232</v>
      </c>
    </row>
    <row r="37" spans="2:9" ht="13.5" customHeight="1">
      <c r="B37" s="567" t="s">
        <v>233</v>
      </c>
      <c r="C37" s="567"/>
      <c r="D37" s="567"/>
      <c r="E37" s="567"/>
      <c r="F37" s="567"/>
      <c r="G37" s="567"/>
      <c r="H37" s="267"/>
    </row>
    <row r="38" spans="2:9" ht="18.75" customHeight="1">
      <c r="B38" s="567"/>
      <c r="C38" s="567"/>
      <c r="D38" s="567"/>
      <c r="E38" s="567"/>
      <c r="F38" s="567"/>
      <c r="G38" s="567"/>
      <c r="H38" s="267"/>
    </row>
  </sheetData>
  <mergeCells count="4">
    <mergeCell ref="K3:L3"/>
    <mergeCell ref="B2:G2"/>
    <mergeCell ref="B35:F35"/>
    <mergeCell ref="B37:G38"/>
  </mergeCells>
  <phoneticPr fontId="18" type="noConversion"/>
  <pageMargins left="0.7" right="0.7" top="0.75" bottom="0.75" header="0.3" footer="0.3"/>
  <pageSetup scale="45"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3499A-695B-41D8-BDBC-896AC9BDBA3D}">
  <sheetPr>
    <tabColor rgb="FF0096D6"/>
    <pageSetUpPr fitToPage="1"/>
  </sheetPr>
  <dimension ref="B1:Q37"/>
  <sheetViews>
    <sheetView zoomScale="85" zoomScaleNormal="85" workbookViewId="0">
      <selection activeCell="I21" sqref="I21"/>
    </sheetView>
  </sheetViews>
  <sheetFormatPr defaultColWidth="9.140625" defaultRowHeight="15.75"/>
  <cols>
    <col min="1" max="1" width="9.140625" style="43"/>
    <col min="2" max="2" width="8.7109375" style="43" customWidth="1"/>
    <col min="3" max="3" width="17.85546875" style="43" customWidth="1"/>
    <col min="4" max="6" width="16.140625" style="43" bestFit="1" customWidth="1"/>
    <col min="7" max="7" width="17" style="43" bestFit="1" customWidth="1"/>
    <col min="8" max="8" width="18.7109375" style="43" customWidth="1"/>
    <col min="9" max="9" width="16.140625" style="43" bestFit="1" customWidth="1"/>
    <col min="10" max="10" width="18.5703125" style="43" customWidth="1"/>
    <col min="11" max="12" width="9.140625" style="43"/>
    <col min="13" max="13" width="12.42578125" style="43" customWidth="1"/>
    <col min="14" max="15" width="9.140625" style="43"/>
    <col min="16" max="16" width="41" style="43" customWidth="1"/>
    <col min="17" max="17" width="17.5703125" style="43" customWidth="1"/>
    <col min="18" max="18" width="22.28515625" style="43" customWidth="1"/>
    <col min="19" max="19" width="18.5703125" style="43" bestFit="1" customWidth="1"/>
    <col min="20" max="20" width="21.85546875" style="43" bestFit="1" customWidth="1"/>
    <col min="21" max="16384" width="9.140625" style="43"/>
  </cols>
  <sheetData>
    <row r="1" spans="2:17" ht="16.5" thickBot="1"/>
    <row r="2" spans="2:17" ht="24.95" customHeight="1">
      <c r="B2" s="534" t="s">
        <v>234</v>
      </c>
      <c r="C2" s="535"/>
      <c r="D2" s="535"/>
      <c r="E2" s="535"/>
      <c r="F2" s="535"/>
      <c r="G2" s="535"/>
      <c r="H2" s="535"/>
      <c r="I2" s="535"/>
      <c r="J2" s="536"/>
    </row>
    <row r="3" spans="2:17" ht="89.25">
      <c r="B3" s="280"/>
      <c r="C3" s="281"/>
      <c r="D3" s="281" t="s">
        <v>235</v>
      </c>
      <c r="E3" s="281" t="s">
        <v>236</v>
      </c>
      <c r="F3" s="281" t="s">
        <v>237</v>
      </c>
      <c r="G3" s="281" t="s">
        <v>238</v>
      </c>
      <c r="H3" s="281" t="s">
        <v>239</v>
      </c>
      <c r="I3" s="282" t="s">
        <v>71</v>
      </c>
      <c r="J3" s="404" t="s">
        <v>154</v>
      </c>
      <c r="P3" s="579" t="s">
        <v>240</v>
      </c>
      <c r="Q3" s="579"/>
    </row>
    <row r="4" spans="2:17">
      <c r="B4" s="269">
        <v>0</v>
      </c>
      <c r="C4" s="270">
        <v>2022</v>
      </c>
      <c r="D4" s="271">
        <v>0</v>
      </c>
      <c r="E4" s="271">
        <v>0</v>
      </c>
      <c r="F4" s="271">
        <v>0</v>
      </c>
      <c r="G4" s="271">
        <v>0</v>
      </c>
      <c r="H4" s="271">
        <v>0</v>
      </c>
      <c r="I4" s="272">
        <f>SUM(D4:H4)</f>
        <v>0</v>
      </c>
      <c r="J4" s="310">
        <f>I4/(1.07^(C4-2020))</f>
        <v>0</v>
      </c>
      <c r="P4" s="458" t="s">
        <v>241</v>
      </c>
      <c r="Q4" s="134"/>
    </row>
    <row r="5" spans="2:17">
      <c r="B5" s="356">
        <v>1</v>
      </c>
      <c r="C5" s="357">
        <v>2023</v>
      </c>
      <c r="D5" s="358">
        <v>0</v>
      </c>
      <c r="E5" s="358">
        <v>0</v>
      </c>
      <c r="F5" s="358">
        <v>0</v>
      </c>
      <c r="G5" s="358">
        <v>0</v>
      </c>
      <c r="H5" s="358">
        <v>0</v>
      </c>
      <c r="I5" s="359">
        <f t="shared" ref="I5:I34" si="0">SUM(D5:H5)</f>
        <v>0</v>
      </c>
      <c r="J5" s="406">
        <f t="shared" ref="J5:J34" si="1">I5/(1.07^(C5-2020))</f>
        <v>0</v>
      </c>
      <c r="P5" s="134" t="s">
        <v>242</v>
      </c>
      <c r="Q5" s="134">
        <v>1</v>
      </c>
    </row>
    <row r="6" spans="2:17">
      <c r="B6" s="269">
        <v>2</v>
      </c>
      <c r="C6" s="270">
        <v>2024</v>
      </c>
      <c r="D6" s="271">
        <v>0</v>
      </c>
      <c r="E6" s="271">
        <v>0</v>
      </c>
      <c r="F6" s="271">
        <v>0</v>
      </c>
      <c r="G6" s="271">
        <v>0</v>
      </c>
      <c r="H6" s="271">
        <v>0</v>
      </c>
      <c r="I6" s="272">
        <f t="shared" si="0"/>
        <v>0</v>
      </c>
      <c r="J6" s="310">
        <f t="shared" si="1"/>
        <v>0</v>
      </c>
      <c r="P6" s="134" t="s">
        <v>243</v>
      </c>
      <c r="Q6" s="134">
        <f>1240*2</f>
        <v>2480</v>
      </c>
    </row>
    <row r="7" spans="2:17">
      <c r="B7" s="356">
        <v>3</v>
      </c>
      <c r="C7" s="357" t="s">
        <v>62</v>
      </c>
      <c r="D7" s="358">
        <v>0</v>
      </c>
      <c r="E7" s="358">
        <v>0</v>
      </c>
      <c r="F7" s="358">
        <v>0</v>
      </c>
      <c r="G7" s="358">
        <v>0</v>
      </c>
      <c r="H7" s="358">
        <v>0</v>
      </c>
      <c r="I7" s="359">
        <f t="shared" si="0"/>
        <v>0</v>
      </c>
      <c r="J7" s="406">
        <f>I7/(1.07^(2025-2020))</f>
        <v>0</v>
      </c>
      <c r="P7" s="458" t="s">
        <v>244</v>
      </c>
      <c r="Q7" s="134"/>
    </row>
    <row r="8" spans="2:17">
      <c r="B8" s="269">
        <v>4</v>
      </c>
      <c r="C8" s="270" t="s">
        <v>63</v>
      </c>
      <c r="D8" s="271">
        <v>0</v>
      </c>
      <c r="E8" s="271">
        <v>0</v>
      </c>
      <c r="F8" s="271">
        <v>0</v>
      </c>
      <c r="G8" s="271">
        <v>0</v>
      </c>
      <c r="H8" s="271">
        <v>0</v>
      </c>
      <c r="I8" s="272">
        <f t="shared" si="0"/>
        <v>0</v>
      </c>
      <c r="J8" s="310">
        <f>I8/(1.07^(2026-2020))</f>
        <v>0</v>
      </c>
      <c r="P8" s="134" t="s">
        <v>242</v>
      </c>
      <c r="Q8" s="134">
        <v>1</v>
      </c>
    </row>
    <row r="9" spans="2:17">
      <c r="B9" s="356">
        <v>5</v>
      </c>
      <c r="C9" s="357" t="s">
        <v>64</v>
      </c>
      <c r="D9" s="358">
        <v>0</v>
      </c>
      <c r="E9" s="358">
        <v>0</v>
      </c>
      <c r="F9" s="358">
        <v>0</v>
      </c>
      <c r="G9" s="358">
        <v>0</v>
      </c>
      <c r="H9" s="358">
        <v>0</v>
      </c>
      <c r="I9" s="359">
        <f t="shared" si="0"/>
        <v>0</v>
      </c>
      <c r="J9" s="406">
        <f>I9/(1.07^(2027-2020))</f>
        <v>0</v>
      </c>
      <c r="P9" s="134" t="s">
        <v>243</v>
      </c>
      <c r="Q9" s="134">
        <f>1260*2</f>
        <v>2520</v>
      </c>
    </row>
    <row r="10" spans="2:17">
      <c r="B10" s="269">
        <v>6</v>
      </c>
      <c r="C10" s="270">
        <v>2028</v>
      </c>
      <c r="D10" s="327">
        <f>(('Fixed Inputs &amp; Assumptions'!$C$88*(1+'Fixed Inputs &amp; Assumptions'!$C$91^(C10-2022)))*'Fixed Inputs &amp; Assumptions'!$C$94*$Q$5*($Q$6/5280)*365)</f>
        <v>257.15909090934815</v>
      </c>
      <c r="E10" s="327">
        <f>(('Fixed Inputs &amp; Assumptions'!$C$87*(1+'Fixed Inputs &amp; Assumptions'!$C$91^(C10-2022)))*'Fixed Inputs &amp; Assumptions'!$C$94*$Q$8*($Q$9/5280)*365)</f>
        <v>871.02272727359866</v>
      </c>
      <c r="F10" s="327">
        <f>(('Fixed Inputs &amp; Assumptions'!$C$86*(1+'Fixed Inputs &amp; Assumptions'!$C$91^(C10-2022)))*'Fixed Inputs &amp; Assumptions'!$C$94*$Q$11*($Q$12/5280)*365)</f>
        <v>522.61363636415911</v>
      </c>
      <c r="G10" s="327">
        <f>(('Fixed Inputs &amp; Assumptions'!$C$89*(1+'Fixed Inputs &amp; Assumptions'!$C$91^(C10-2022)))*'Fixed Inputs &amp; Assumptions'!$C$94*$Q$17*($Q$18/5280)*365)</f>
        <v>2125.7102272748534</v>
      </c>
      <c r="H10" s="327">
        <f>(('Fixed Inputs &amp; Assumptions'!$C$90*(1+'Fixed Inputs &amp; Assumptions'!$C$91^(C10-2022)))*'Fixed Inputs &amp; Assumptions'!$C$100*($Q$15/5280)*365)</f>
        <v>3706.8584280340106</v>
      </c>
      <c r="I10" s="272">
        <f t="shared" si="0"/>
        <v>7483.3641098559692</v>
      </c>
      <c r="J10" s="310">
        <f t="shared" si="1"/>
        <v>4355.3860447114184</v>
      </c>
      <c r="P10" s="458" t="s">
        <v>245</v>
      </c>
      <c r="Q10" s="134"/>
    </row>
    <row r="11" spans="2:17">
      <c r="B11" s="356">
        <v>7</v>
      </c>
      <c r="C11" s="357">
        <v>2029</v>
      </c>
      <c r="D11" s="408">
        <f>(('Fixed Inputs &amp; Assumptions'!$C$88*(1+'Fixed Inputs &amp; Assumptions'!$C$91^(C11-2022)))*'Fixed Inputs &amp; Assumptions'!$C$94*$Q$5*($Q$6/5280)*365)</f>
        <v>257.15909090909349</v>
      </c>
      <c r="E11" s="408">
        <f>(('Fixed Inputs &amp; Assumptions'!$C$87*(1+'Fixed Inputs &amp; Assumptions'!$C$91^(C11-2022)))*'Fixed Inputs &amp; Assumptions'!$C$94*$Q$8*($Q$9/5280)*365)</f>
        <v>871.02272727273601</v>
      </c>
      <c r="F11" s="408">
        <f>(('Fixed Inputs &amp; Assumptions'!$C$86*(1+'Fixed Inputs &amp; Assumptions'!$C$91^(C11-2022)))*'Fixed Inputs &amp; Assumptions'!$C$94*$Q$11*($Q$12/5280)*365)</f>
        <v>522.6136363636416</v>
      </c>
      <c r="G11" s="408">
        <f>(('Fixed Inputs &amp; Assumptions'!$C$89*(1+'Fixed Inputs &amp; Assumptions'!$C$91^(C11-2022)))*'Fixed Inputs &amp; Assumptions'!$C$94*$Q$17*($Q$18/5280)*365)</f>
        <v>2125.7102272727484</v>
      </c>
      <c r="H11" s="408">
        <f>(('Fixed Inputs &amp; Assumptions'!$C$90*(1+'Fixed Inputs &amp; Assumptions'!$C$91^(C11-2022)))*'Fixed Inputs &amp; Assumptions'!$C$100*($Q$15/5280)*365)</f>
        <v>3706.8584280303394</v>
      </c>
      <c r="I11" s="359">
        <f t="shared" si="0"/>
        <v>7483.3641098485587</v>
      </c>
      <c r="J11" s="406">
        <f t="shared" si="1"/>
        <v>4070.4542473898177</v>
      </c>
      <c r="P11" s="134" t="s">
        <v>242</v>
      </c>
      <c r="Q11" s="134">
        <v>1</v>
      </c>
    </row>
    <row r="12" spans="2:17">
      <c r="B12" s="269">
        <v>8</v>
      </c>
      <c r="C12" s="270">
        <v>2030</v>
      </c>
      <c r="D12" s="327">
        <f>(('Fixed Inputs &amp; Assumptions'!$C$88*(1+'Fixed Inputs &amp; Assumptions'!$C$91^(C12-2022)))*'Fixed Inputs &amp; Assumptions'!$C$94*$Q$5*($Q$6/5280)*365)</f>
        <v>257.15909090909093</v>
      </c>
      <c r="E12" s="327">
        <f>(('Fixed Inputs &amp; Assumptions'!$C$87*(1+'Fixed Inputs &amp; Assumptions'!$C$91^(C12-2022)))*'Fixed Inputs &amp; Assumptions'!$C$94*$Q$8*($Q$9/5280)*365)</f>
        <v>871.02272727272737</v>
      </c>
      <c r="F12" s="327">
        <f>(('Fixed Inputs &amp; Assumptions'!$C$86*(1+'Fixed Inputs &amp; Assumptions'!$C$91^(C12-2022)))*'Fixed Inputs &amp; Assumptions'!$C$94*$Q$11*($Q$12/5280)*365)</f>
        <v>522.61363636363637</v>
      </c>
      <c r="G12" s="327">
        <f>(('Fixed Inputs &amp; Assumptions'!$C$89*(1+'Fixed Inputs &amp; Assumptions'!$C$91^(C12-2022)))*'Fixed Inputs &amp; Assumptions'!$C$94*$Q$17*($Q$18/5280)*365)</f>
        <v>2125.710227272727</v>
      </c>
      <c r="H12" s="327">
        <f>(('Fixed Inputs &amp; Assumptions'!$C$90*(1+'Fixed Inputs &amp; Assumptions'!$C$91^(C12-2022)))*'Fixed Inputs &amp; Assumptions'!$C$100*($Q$15/5280)*365)</f>
        <v>3706.858428030303</v>
      </c>
      <c r="I12" s="272">
        <f t="shared" si="0"/>
        <v>7483.3641098484841</v>
      </c>
      <c r="J12" s="310">
        <f t="shared" si="1"/>
        <v>3804.1628480278296</v>
      </c>
      <c r="P12" s="134" t="s">
        <v>243</v>
      </c>
      <c r="Q12" s="134">
        <f>1260*2</f>
        <v>2520</v>
      </c>
    </row>
    <row r="13" spans="2:17">
      <c r="B13" s="356">
        <v>9</v>
      </c>
      <c r="C13" s="357">
        <v>2031</v>
      </c>
      <c r="D13" s="408">
        <f>(('Fixed Inputs &amp; Assumptions'!$C$88*(1+'Fixed Inputs &amp; Assumptions'!$C$91^(C13-2022)))*'Fixed Inputs &amp; Assumptions'!$C$94*$Q$5*($Q$6/5280)*365)</f>
        <v>257.15909090909093</v>
      </c>
      <c r="E13" s="408">
        <f>(('Fixed Inputs &amp; Assumptions'!$C$87*(1+'Fixed Inputs &amp; Assumptions'!$C$91^(C13-2022)))*'Fixed Inputs &amp; Assumptions'!$C$94*$Q$8*($Q$9/5280)*365)</f>
        <v>871.02272727272737</v>
      </c>
      <c r="F13" s="408">
        <f>(('Fixed Inputs &amp; Assumptions'!$C$86*(1+'Fixed Inputs &amp; Assumptions'!$C$91^(C13-2022)))*'Fixed Inputs &amp; Assumptions'!$C$94*$Q$11*($Q$12/5280)*365)</f>
        <v>522.61363636363637</v>
      </c>
      <c r="G13" s="408">
        <f>(('Fixed Inputs &amp; Assumptions'!$C$89*(1+'Fixed Inputs &amp; Assumptions'!$C$91^(C13-2022)))*'Fixed Inputs &amp; Assumptions'!$C$94*$Q$17*($Q$18/5280)*365)</f>
        <v>2125.710227272727</v>
      </c>
      <c r="H13" s="408">
        <f>(('Fixed Inputs &amp; Assumptions'!$C$90*(1+'Fixed Inputs &amp; Assumptions'!$C$91^(C13-2022)))*'Fixed Inputs &amp; Assumptions'!$C$100*($Q$15/5280)*365)</f>
        <v>3706.858428030303</v>
      </c>
      <c r="I13" s="359">
        <f t="shared" si="0"/>
        <v>7483.3641098484841</v>
      </c>
      <c r="J13" s="406">
        <f t="shared" si="1"/>
        <v>3555.2923813344196</v>
      </c>
      <c r="P13" s="458" t="s">
        <v>246</v>
      </c>
      <c r="Q13" s="134"/>
    </row>
    <row r="14" spans="2:17">
      <c r="B14" s="269">
        <v>10</v>
      </c>
      <c r="C14" s="270">
        <v>2032</v>
      </c>
      <c r="D14" s="327">
        <f>(('Fixed Inputs &amp; Assumptions'!$C$88*(1+'Fixed Inputs &amp; Assumptions'!$C$91^(C14-2022)))*'Fixed Inputs &amp; Assumptions'!$C$94*$Q$5*($Q$6/5280)*365)</f>
        <v>257.15909090909093</v>
      </c>
      <c r="E14" s="327">
        <f>(('Fixed Inputs &amp; Assumptions'!$C$87*(1+'Fixed Inputs &amp; Assumptions'!$C$91^(C14-2022)))*'Fixed Inputs &amp; Assumptions'!$C$94*$Q$8*($Q$9/5280)*365)</f>
        <v>871.02272727272737</v>
      </c>
      <c r="F14" s="327">
        <f>(('Fixed Inputs &amp; Assumptions'!$C$86*(1+'Fixed Inputs &amp; Assumptions'!$C$91^(C14-2022)))*'Fixed Inputs &amp; Assumptions'!$C$94*$Q$11*($Q$12/5280)*365)</f>
        <v>522.61363636363637</v>
      </c>
      <c r="G14" s="327">
        <f>(('Fixed Inputs &amp; Assumptions'!$C$89*(1+'Fixed Inputs &amp; Assumptions'!$C$91^(C14-2022)))*'Fixed Inputs &amp; Assumptions'!$C$94*$Q$17*($Q$18/5280)*365)</f>
        <v>2125.710227272727</v>
      </c>
      <c r="H14" s="327">
        <f>(('Fixed Inputs &amp; Assumptions'!$C$90*(1+'Fixed Inputs &amp; Assumptions'!$C$91^(C14-2022)))*'Fixed Inputs &amp; Assumptions'!$C$100*($Q$15/5280)*365)</f>
        <v>3706.858428030303</v>
      </c>
      <c r="I14" s="272">
        <f t="shared" si="0"/>
        <v>7483.3641098484841</v>
      </c>
      <c r="J14" s="310">
        <f t="shared" si="1"/>
        <v>3322.7031601256263</v>
      </c>
      <c r="P14" s="134" t="s">
        <v>247</v>
      </c>
      <c r="Q14" s="134">
        <v>10</v>
      </c>
    </row>
    <row r="15" spans="2:17">
      <c r="B15" s="356">
        <v>11</v>
      </c>
      <c r="C15" s="357">
        <v>2033</v>
      </c>
      <c r="D15" s="408">
        <f>(('Fixed Inputs &amp; Assumptions'!$C$88*(1+'Fixed Inputs &amp; Assumptions'!$C$91^(C15-2022)))*'Fixed Inputs &amp; Assumptions'!$C$94*$Q$5*($Q$6/5280)*365)</f>
        <v>257.15909090909093</v>
      </c>
      <c r="E15" s="408">
        <f>(('Fixed Inputs &amp; Assumptions'!$C$87*(1+'Fixed Inputs &amp; Assumptions'!$C$91^(C15-2022)))*'Fixed Inputs &amp; Assumptions'!$C$94*$Q$8*($Q$9/5280)*365)</f>
        <v>871.02272727272737</v>
      </c>
      <c r="F15" s="408">
        <f>(('Fixed Inputs &amp; Assumptions'!$C$86*(1+'Fixed Inputs &amp; Assumptions'!$C$91^(C15-2022)))*'Fixed Inputs &amp; Assumptions'!$C$94*$Q$11*($Q$12/5280)*365)</f>
        <v>522.61363636363637</v>
      </c>
      <c r="G15" s="408">
        <f>(('Fixed Inputs &amp; Assumptions'!$C$89*(1+'Fixed Inputs &amp; Assumptions'!$C$91^(C15-2022)))*'Fixed Inputs &amp; Assumptions'!$C$94*$Q$17*($Q$18/5280)*365)</f>
        <v>2125.710227272727</v>
      </c>
      <c r="H15" s="408">
        <f>(('Fixed Inputs &amp; Assumptions'!$C$90*(1+'Fixed Inputs &amp; Assumptions'!$C$91^(C15-2022)))*'Fixed Inputs &amp; Assumptions'!$C$100*($Q$15/5280)*365)</f>
        <v>3706.858428030303</v>
      </c>
      <c r="I15" s="359">
        <f t="shared" si="0"/>
        <v>7483.3641098484841</v>
      </c>
      <c r="J15" s="406">
        <f t="shared" si="1"/>
        <v>3105.3300561921737</v>
      </c>
      <c r="P15" s="134" t="s">
        <v>243</v>
      </c>
      <c r="Q15" s="134">
        <v>1205</v>
      </c>
    </row>
    <row r="16" spans="2:17">
      <c r="B16" s="269">
        <v>12</v>
      </c>
      <c r="C16" s="270">
        <v>2034</v>
      </c>
      <c r="D16" s="327">
        <f>(('Fixed Inputs &amp; Assumptions'!$C$88*(1+'Fixed Inputs &amp; Assumptions'!$C$91^(C16-2022)))*'Fixed Inputs &amp; Assumptions'!$C$94*$Q$5*($Q$6/5280)*365)</f>
        <v>257.15909090909093</v>
      </c>
      <c r="E16" s="327">
        <f>(('Fixed Inputs &amp; Assumptions'!$C$87*(1+'Fixed Inputs &amp; Assumptions'!$C$91^(C16-2022)))*'Fixed Inputs &amp; Assumptions'!$C$94*$Q$8*($Q$9/5280)*365)</f>
        <v>871.02272727272737</v>
      </c>
      <c r="F16" s="327">
        <f>(('Fixed Inputs &amp; Assumptions'!$C$86*(1+'Fixed Inputs &amp; Assumptions'!$C$91^(C16-2022)))*'Fixed Inputs &amp; Assumptions'!$C$94*$Q$11*($Q$12/5280)*365)</f>
        <v>522.61363636363637</v>
      </c>
      <c r="G16" s="327">
        <f>(('Fixed Inputs &amp; Assumptions'!$C$89*(1+'Fixed Inputs &amp; Assumptions'!$C$91^(C16-2022)))*'Fixed Inputs &amp; Assumptions'!$C$94*$Q$17*($Q$18/5280)*365)</f>
        <v>2125.710227272727</v>
      </c>
      <c r="H16" s="327">
        <f>(('Fixed Inputs &amp; Assumptions'!$C$90*(1+'Fixed Inputs &amp; Assumptions'!$C$91^(C16-2022)))*'Fixed Inputs &amp; Assumptions'!$C$100*($Q$15/5280)*365)</f>
        <v>3706.858428030303</v>
      </c>
      <c r="I16" s="272">
        <f t="shared" si="0"/>
        <v>7483.3641098484841</v>
      </c>
      <c r="J16" s="310">
        <f t="shared" si="1"/>
        <v>2902.1776226095085</v>
      </c>
      <c r="P16" s="458" t="s">
        <v>248</v>
      </c>
      <c r="Q16" s="134"/>
    </row>
    <row r="17" spans="2:17">
      <c r="B17" s="356">
        <v>13</v>
      </c>
      <c r="C17" s="357">
        <v>2035</v>
      </c>
      <c r="D17" s="408">
        <f>(('Fixed Inputs &amp; Assumptions'!$C$88*(1+'Fixed Inputs &amp; Assumptions'!$C$91^(C17-2022)))*'Fixed Inputs &amp; Assumptions'!$C$94*$Q$5*($Q$6/5280)*365)</f>
        <v>257.15909090909093</v>
      </c>
      <c r="E17" s="408">
        <f>(('Fixed Inputs &amp; Assumptions'!$C$87*(1+'Fixed Inputs &amp; Assumptions'!$C$91^(C17-2022)))*'Fixed Inputs &amp; Assumptions'!$C$94*$Q$8*($Q$9/5280)*365)</f>
        <v>871.02272727272737</v>
      </c>
      <c r="F17" s="408">
        <f>(('Fixed Inputs &amp; Assumptions'!$C$86*(1+'Fixed Inputs &amp; Assumptions'!$C$91^(C17-2022)))*'Fixed Inputs &amp; Assumptions'!$C$94*$Q$11*($Q$12/5280)*365)</f>
        <v>522.61363636363637</v>
      </c>
      <c r="G17" s="408">
        <f>(('Fixed Inputs &amp; Assumptions'!$C$89*(1+'Fixed Inputs &amp; Assumptions'!$C$91^(C17-2022)))*'Fixed Inputs &amp; Assumptions'!$C$94*$Q$17*($Q$18/5280)*365)</f>
        <v>2125.710227272727</v>
      </c>
      <c r="H17" s="408">
        <f>(('Fixed Inputs &amp; Assumptions'!$C$90*(1+'Fixed Inputs &amp; Assumptions'!$C$91^(C17-2022)))*'Fixed Inputs &amp; Assumptions'!$C$100*($Q$15/5280)*365)</f>
        <v>3706.858428030303</v>
      </c>
      <c r="I17" s="359">
        <f t="shared" si="0"/>
        <v>7483.3641098484841</v>
      </c>
      <c r="J17" s="406">
        <f t="shared" si="1"/>
        <v>2712.3155351490732</v>
      </c>
      <c r="P17" s="134" t="s">
        <v>242</v>
      </c>
      <c r="Q17" s="134">
        <v>6</v>
      </c>
    </row>
    <row r="18" spans="2:17">
      <c r="B18" s="269">
        <v>14</v>
      </c>
      <c r="C18" s="270">
        <v>2036</v>
      </c>
      <c r="D18" s="327">
        <f>(('Fixed Inputs &amp; Assumptions'!$C$88*(1+'Fixed Inputs &amp; Assumptions'!$C$91^(C18-2022)))*'Fixed Inputs &amp; Assumptions'!$C$94*$Q$5*($Q$6/5280)*365)</f>
        <v>257.15909090909093</v>
      </c>
      <c r="E18" s="327">
        <f>(('Fixed Inputs &amp; Assumptions'!$C$87*(1+'Fixed Inputs &amp; Assumptions'!$C$91^(C18-2022)))*'Fixed Inputs &amp; Assumptions'!$C$94*$Q$8*($Q$9/5280)*365)</f>
        <v>871.02272727272737</v>
      </c>
      <c r="F18" s="327">
        <f>(('Fixed Inputs &amp; Assumptions'!$C$86*(1+'Fixed Inputs &amp; Assumptions'!$C$91^(C18-2022)))*'Fixed Inputs &amp; Assumptions'!$C$94*$Q$11*($Q$12/5280)*365)</f>
        <v>522.61363636363637</v>
      </c>
      <c r="G18" s="327">
        <f>(('Fixed Inputs &amp; Assumptions'!$C$89*(1+'Fixed Inputs &amp; Assumptions'!$C$91^(C18-2022)))*'Fixed Inputs &amp; Assumptions'!$C$94*$Q$17*($Q$18/5280)*365)</f>
        <v>2125.710227272727</v>
      </c>
      <c r="H18" s="327">
        <f>(('Fixed Inputs &amp; Assumptions'!$C$90*(1+'Fixed Inputs &amp; Assumptions'!$C$91^(C18-2022)))*'Fixed Inputs &amp; Assumptions'!$C$100*($Q$15/5280)*365)</f>
        <v>3706.858428030303</v>
      </c>
      <c r="I18" s="272">
        <f t="shared" si="0"/>
        <v>7483.3641098484841</v>
      </c>
      <c r="J18" s="310">
        <f t="shared" si="1"/>
        <v>2534.8743319150217</v>
      </c>
      <c r="P18" s="134" t="s">
        <v>243</v>
      </c>
      <c r="Q18" s="134">
        <f>1025*2</f>
        <v>2050</v>
      </c>
    </row>
    <row r="19" spans="2:17">
      <c r="B19" s="356">
        <v>15</v>
      </c>
      <c r="C19" s="357">
        <v>2037</v>
      </c>
      <c r="D19" s="408">
        <f>(('Fixed Inputs &amp; Assumptions'!$C$88*(1+'Fixed Inputs &amp; Assumptions'!$C$91^(C19-2022)))*'Fixed Inputs &amp; Assumptions'!$C$94*$Q$5*($Q$6/5280)*365)</f>
        <v>257.15909090909093</v>
      </c>
      <c r="E19" s="408">
        <f>(('Fixed Inputs &amp; Assumptions'!$C$87*(1+'Fixed Inputs &amp; Assumptions'!$C$91^(C19-2022)))*'Fixed Inputs &amp; Assumptions'!$C$94*$Q$8*($Q$9/5280)*365)</f>
        <v>871.02272727272737</v>
      </c>
      <c r="F19" s="408">
        <f>(('Fixed Inputs &amp; Assumptions'!$C$86*(1+'Fixed Inputs &amp; Assumptions'!$C$91^(C19-2022)))*'Fixed Inputs &amp; Assumptions'!$C$94*$Q$11*($Q$12/5280)*365)</f>
        <v>522.61363636363637</v>
      </c>
      <c r="G19" s="408">
        <f>(('Fixed Inputs &amp; Assumptions'!$C$89*(1+'Fixed Inputs &amp; Assumptions'!$C$91^(C19-2022)))*'Fixed Inputs &amp; Assumptions'!$C$94*$Q$17*($Q$18/5280)*365)</f>
        <v>2125.710227272727</v>
      </c>
      <c r="H19" s="408">
        <f>(('Fixed Inputs &amp; Assumptions'!$C$90*(1+'Fixed Inputs &amp; Assumptions'!$C$91^(C19-2022)))*'Fixed Inputs &amp; Assumptions'!$C$100*($Q$15/5280)*365)</f>
        <v>3706.858428030303</v>
      </c>
      <c r="I19" s="359">
        <f t="shared" si="0"/>
        <v>7483.3641098484841</v>
      </c>
      <c r="J19" s="406">
        <f t="shared" si="1"/>
        <v>2369.041431696282</v>
      </c>
    </row>
    <row r="20" spans="2:17">
      <c r="B20" s="269">
        <v>16</v>
      </c>
      <c r="C20" s="270">
        <v>2038</v>
      </c>
      <c r="D20" s="327">
        <f>(('Fixed Inputs &amp; Assumptions'!$C$88*(1+'Fixed Inputs &amp; Assumptions'!$C$91^(C20-2022)))*'Fixed Inputs &amp; Assumptions'!$C$94*$Q$5*($Q$6/5280)*365)</f>
        <v>257.15909090909093</v>
      </c>
      <c r="E20" s="327">
        <f>(('Fixed Inputs &amp; Assumptions'!$C$87*(1+'Fixed Inputs &amp; Assumptions'!$C$91^(C20-2022)))*'Fixed Inputs &amp; Assumptions'!$C$94*$Q$8*($Q$9/5280)*365)</f>
        <v>871.02272727272737</v>
      </c>
      <c r="F20" s="327">
        <f>(('Fixed Inputs &amp; Assumptions'!$C$86*(1+'Fixed Inputs &amp; Assumptions'!$C$91^(C20-2022)))*'Fixed Inputs &amp; Assumptions'!$C$94*$Q$11*($Q$12/5280)*365)</f>
        <v>522.61363636363637</v>
      </c>
      <c r="G20" s="327">
        <f>(('Fixed Inputs &amp; Assumptions'!$C$89*(1+'Fixed Inputs &amp; Assumptions'!$C$91^(C20-2022)))*'Fixed Inputs &amp; Assumptions'!$C$94*$Q$17*($Q$18/5280)*365)</f>
        <v>2125.710227272727</v>
      </c>
      <c r="H20" s="327">
        <f>(('Fixed Inputs &amp; Assumptions'!$C$90*(1+'Fixed Inputs &amp; Assumptions'!$C$91^(C20-2022)))*'Fixed Inputs &amp; Assumptions'!$C$100*($Q$15/5280)*365)</f>
        <v>3706.858428030303</v>
      </c>
      <c r="I20" s="272">
        <f t="shared" si="0"/>
        <v>7483.3641098484841</v>
      </c>
      <c r="J20" s="310">
        <f t="shared" si="1"/>
        <v>2214.0574128002636</v>
      </c>
    </row>
    <row r="21" spans="2:17">
      <c r="B21" s="356">
        <v>17</v>
      </c>
      <c r="C21" s="357">
        <v>2039</v>
      </c>
      <c r="D21" s="408">
        <f>(('Fixed Inputs &amp; Assumptions'!$C$88*(1+'Fixed Inputs &amp; Assumptions'!$C$91^(C21-2022)))*'Fixed Inputs &amp; Assumptions'!$C$94*$Q$5*($Q$6/5280)*365)</f>
        <v>257.15909090909093</v>
      </c>
      <c r="E21" s="408">
        <f>(('Fixed Inputs &amp; Assumptions'!$C$87*(1+'Fixed Inputs &amp; Assumptions'!$C$91^(C21-2022)))*'Fixed Inputs &amp; Assumptions'!$C$94*$Q$8*($Q$9/5280)*365)</f>
        <v>871.02272727272737</v>
      </c>
      <c r="F21" s="408">
        <f>(('Fixed Inputs &amp; Assumptions'!$C$86*(1+'Fixed Inputs &amp; Assumptions'!$C$91^(C21-2022)))*'Fixed Inputs &amp; Assumptions'!$C$94*$Q$11*($Q$12/5280)*365)</f>
        <v>522.61363636363637</v>
      </c>
      <c r="G21" s="408">
        <f>(('Fixed Inputs &amp; Assumptions'!$C$89*(1+'Fixed Inputs &amp; Assumptions'!$C$91^(C21-2022)))*'Fixed Inputs &amp; Assumptions'!$C$94*$Q$17*($Q$18/5280)*365)</f>
        <v>2125.710227272727</v>
      </c>
      <c r="H21" s="408">
        <f>(('Fixed Inputs &amp; Assumptions'!$C$90*(1+'Fixed Inputs &amp; Assumptions'!$C$91^(C21-2022)))*'Fixed Inputs &amp; Assumptions'!$C$100*($Q$15/5280)*365)</f>
        <v>3706.858428030303</v>
      </c>
      <c r="I21" s="359">
        <f t="shared" si="0"/>
        <v>7483.3641098484841</v>
      </c>
      <c r="J21" s="406">
        <f t="shared" si="1"/>
        <v>2069.2125353273491</v>
      </c>
    </row>
    <row r="22" spans="2:17">
      <c r="B22" s="269">
        <v>18</v>
      </c>
      <c r="C22" s="270">
        <v>2040</v>
      </c>
      <c r="D22" s="327">
        <f>(('Fixed Inputs &amp; Assumptions'!$C$88*(1+'Fixed Inputs &amp; Assumptions'!$C$91^(C22-2022)))*'Fixed Inputs &amp; Assumptions'!$C$94*$Q$5*($Q$6/5280)*365)</f>
        <v>257.15909090909093</v>
      </c>
      <c r="E22" s="327">
        <f>(('Fixed Inputs &amp; Assumptions'!$C$87*(1+'Fixed Inputs &amp; Assumptions'!$C$91^(C22-2022)))*'Fixed Inputs &amp; Assumptions'!$C$94*$Q$8*($Q$9/5280)*365)</f>
        <v>871.02272727272737</v>
      </c>
      <c r="F22" s="327">
        <f>(('Fixed Inputs &amp; Assumptions'!$C$86*(1+'Fixed Inputs &amp; Assumptions'!$C$91^(C22-2022)))*'Fixed Inputs &amp; Assumptions'!$C$94*$Q$11*($Q$12/5280)*365)</f>
        <v>522.61363636363637</v>
      </c>
      <c r="G22" s="327">
        <f>(('Fixed Inputs &amp; Assumptions'!$C$89*(1+'Fixed Inputs &amp; Assumptions'!$C$91^(C22-2022)))*'Fixed Inputs &amp; Assumptions'!$C$94*$Q$17*($Q$18/5280)*365)</f>
        <v>2125.710227272727</v>
      </c>
      <c r="H22" s="327">
        <f>(('Fixed Inputs &amp; Assumptions'!$C$90*(1+'Fixed Inputs &amp; Assumptions'!$C$91^(C22-2022)))*'Fixed Inputs &amp; Assumptions'!$C$100*($Q$15/5280)*365)</f>
        <v>3706.858428030303</v>
      </c>
      <c r="I22" s="272">
        <f t="shared" si="0"/>
        <v>7483.3641098484841</v>
      </c>
      <c r="J22" s="310">
        <f t="shared" si="1"/>
        <v>1933.8434909601394</v>
      </c>
    </row>
    <row r="23" spans="2:17">
      <c r="B23" s="356">
        <v>19</v>
      </c>
      <c r="C23" s="357">
        <v>2041</v>
      </c>
      <c r="D23" s="408">
        <f>(('Fixed Inputs &amp; Assumptions'!$C$88*(1+'Fixed Inputs &amp; Assumptions'!$C$91^(C23-2022)))*'Fixed Inputs &amp; Assumptions'!$C$94*$Q$5*($Q$6/5280)*365)</f>
        <v>257.15909090909093</v>
      </c>
      <c r="E23" s="408">
        <f>(('Fixed Inputs &amp; Assumptions'!$C$87*(1+'Fixed Inputs &amp; Assumptions'!$C$91^(C23-2022)))*'Fixed Inputs &amp; Assumptions'!$C$94*$Q$8*($Q$9/5280)*365)</f>
        <v>871.02272727272737</v>
      </c>
      <c r="F23" s="408">
        <f>(('Fixed Inputs &amp; Assumptions'!$C$86*(1+'Fixed Inputs &amp; Assumptions'!$C$91^(C23-2022)))*'Fixed Inputs &amp; Assumptions'!$C$94*$Q$11*($Q$12/5280)*365)</f>
        <v>522.61363636363637</v>
      </c>
      <c r="G23" s="408">
        <f>(('Fixed Inputs &amp; Assumptions'!$C$89*(1+'Fixed Inputs &amp; Assumptions'!$C$91^(C23-2022)))*'Fixed Inputs &amp; Assumptions'!$C$94*$Q$17*($Q$18/5280)*365)</f>
        <v>2125.710227272727</v>
      </c>
      <c r="H23" s="408">
        <f>(('Fixed Inputs &amp; Assumptions'!$C$90*(1+'Fixed Inputs &amp; Assumptions'!$C$91^(C23-2022)))*'Fixed Inputs &amp; Assumptions'!$C$100*($Q$15/5280)*365)</f>
        <v>3706.858428030303</v>
      </c>
      <c r="I23" s="359">
        <f t="shared" si="0"/>
        <v>7483.3641098484841</v>
      </c>
      <c r="J23" s="406">
        <f t="shared" si="1"/>
        <v>1807.3303653833077</v>
      </c>
    </row>
    <row r="24" spans="2:17">
      <c r="B24" s="269">
        <v>20</v>
      </c>
      <c r="C24" s="270">
        <v>2042</v>
      </c>
      <c r="D24" s="327">
        <f>(('Fixed Inputs &amp; Assumptions'!$C$88*(1+'Fixed Inputs &amp; Assumptions'!$C$91^(C24-2022)))*'Fixed Inputs &amp; Assumptions'!$C$94*$Q$5*($Q$6/5280)*365)</f>
        <v>257.15909090909093</v>
      </c>
      <c r="E24" s="327">
        <f>(('Fixed Inputs &amp; Assumptions'!$C$87*(1+'Fixed Inputs &amp; Assumptions'!$C$91^(C24-2022)))*'Fixed Inputs &amp; Assumptions'!$C$94*$Q$8*($Q$9/5280)*365)</f>
        <v>871.02272727272737</v>
      </c>
      <c r="F24" s="327">
        <f>(('Fixed Inputs &amp; Assumptions'!$C$86*(1+'Fixed Inputs &amp; Assumptions'!$C$91^(C24-2022)))*'Fixed Inputs &amp; Assumptions'!$C$94*$Q$11*($Q$12/5280)*365)</f>
        <v>522.61363636363637</v>
      </c>
      <c r="G24" s="327">
        <f>(('Fixed Inputs &amp; Assumptions'!$C$89*(1+'Fixed Inputs &amp; Assumptions'!$C$91^(C24-2022)))*'Fixed Inputs &amp; Assumptions'!$C$94*$Q$17*($Q$18/5280)*365)</f>
        <v>2125.710227272727</v>
      </c>
      <c r="H24" s="327">
        <f>(('Fixed Inputs &amp; Assumptions'!$C$90*(1+'Fixed Inputs &amp; Assumptions'!$C$91^(C24-2022)))*'Fixed Inputs &amp; Assumptions'!$C$100*($Q$15/5280)*365)</f>
        <v>3706.858428030303</v>
      </c>
      <c r="I24" s="272">
        <f t="shared" si="0"/>
        <v>7483.3641098484841</v>
      </c>
      <c r="J24" s="310">
        <f t="shared" si="1"/>
        <v>1689.0937994236522</v>
      </c>
    </row>
    <row r="25" spans="2:17">
      <c r="B25" s="356">
        <v>21</v>
      </c>
      <c r="C25" s="357">
        <v>2043</v>
      </c>
      <c r="D25" s="408">
        <f>(('Fixed Inputs &amp; Assumptions'!$C$88*(1+'Fixed Inputs &amp; Assumptions'!$C$91^(C25-2022)))*'Fixed Inputs &amp; Assumptions'!$C$94*$Q$5*($Q$6/5280)*365)</f>
        <v>257.15909090909093</v>
      </c>
      <c r="E25" s="408">
        <f>(('Fixed Inputs &amp; Assumptions'!$C$87*(1+'Fixed Inputs &amp; Assumptions'!$C$91^(C25-2022)))*'Fixed Inputs &amp; Assumptions'!$C$94*$Q$8*($Q$9/5280)*365)</f>
        <v>871.02272727272737</v>
      </c>
      <c r="F25" s="408">
        <f>(('Fixed Inputs &amp; Assumptions'!$C$86*(1+'Fixed Inputs &amp; Assumptions'!$C$91^(C25-2022)))*'Fixed Inputs &amp; Assumptions'!$C$94*$Q$11*($Q$12/5280)*365)</f>
        <v>522.61363636363637</v>
      </c>
      <c r="G25" s="408">
        <f>(('Fixed Inputs &amp; Assumptions'!$C$89*(1+'Fixed Inputs &amp; Assumptions'!$C$91^(C25-2022)))*'Fixed Inputs &amp; Assumptions'!$C$94*$Q$17*($Q$18/5280)*365)</f>
        <v>2125.710227272727</v>
      </c>
      <c r="H25" s="408">
        <f>(('Fixed Inputs &amp; Assumptions'!$C$90*(1+'Fixed Inputs &amp; Assumptions'!$C$91^(C25-2022)))*'Fixed Inputs &amp; Assumptions'!$C$100*($Q$15/5280)*365)</f>
        <v>3706.858428030303</v>
      </c>
      <c r="I25" s="359">
        <f t="shared" si="0"/>
        <v>7483.3641098484841</v>
      </c>
      <c r="J25" s="406">
        <f t="shared" si="1"/>
        <v>1578.5923359099552</v>
      </c>
    </row>
    <row r="26" spans="2:17">
      <c r="B26" s="269">
        <v>22</v>
      </c>
      <c r="C26" s="270">
        <v>2044</v>
      </c>
      <c r="D26" s="327">
        <f>(('Fixed Inputs &amp; Assumptions'!$C$88*(1+'Fixed Inputs &amp; Assumptions'!$C$91^(C26-2022)))*'Fixed Inputs &amp; Assumptions'!$C$94*$Q$5*($Q$6/5280)*365)</f>
        <v>257.15909090909093</v>
      </c>
      <c r="E26" s="327">
        <f>(('Fixed Inputs &amp; Assumptions'!$C$87*(1+'Fixed Inputs &amp; Assumptions'!$C$91^(C26-2022)))*'Fixed Inputs &amp; Assumptions'!$C$94*$Q$8*($Q$9/5280)*365)</f>
        <v>871.02272727272737</v>
      </c>
      <c r="F26" s="327">
        <f>(('Fixed Inputs &amp; Assumptions'!$C$86*(1+'Fixed Inputs &amp; Assumptions'!$C$91^(C26-2022)))*'Fixed Inputs &amp; Assumptions'!$C$94*$Q$11*($Q$12/5280)*365)</f>
        <v>522.61363636363637</v>
      </c>
      <c r="G26" s="327">
        <f>(('Fixed Inputs &amp; Assumptions'!$C$89*(1+'Fixed Inputs &amp; Assumptions'!$C$91^(C26-2022)))*'Fixed Inputs &amp; Assumptions'!$C$94*$Q$17*($Q$18/5280)*365)</f>
        <v>2125.710227272727</v>
      </c>
      <c r="H26" s="327">
        <f>(('Fixed Inputs &amp; Assumptions'!$C$90*(1+'Fixed Inputs &amp; Assumptions'!$C$91^(C26-2022)))*'Fixed Inputs &amp; Assumptions'!$C$100*($Q$15/5280)*365)</f>
        <v>3706.858428030303</v>
      </c>
      <c r="I26" s="272">
        <f t="shared" si="0"/>
        <v>7483.3641098484841</v>
      </c>
      <c r="J26" s="310">
        <f t="shared" si="1"/>
        <v>1475.3199401027618</v>
      </c>
    </row>
    <row r="27" spans="2:17">
      <c r="B27" s="356">
        <v>23</v>
      </c>
      <c r="C27" s="357">
        <v>2045</v>
      </c>
      <c r="D27" s="408">
        <f>(('Fixed Inputs &amp; Assumptions'!$C$88*(1+'Fixed Inputs &amp; Assumptions'!$C$91^(C27-2022)))*'Fixed Inputs &amp; Assumptions'!$C$94*$Q$5*($Q$6/5280)*365)</f>
        <v>257.15909090909093</v>
      </c>
      <c r="E27" s="408">
        <f>(('Fixed Inputs &amp; Assumptions'!$C$87*(1+'Fixed Inputs &amp; Assumptions'!$C$91^(C27-2022)))*'Fixed Inputs &amp; Assumptions'!$C$94*$Q$8*($Q$9/5280)*365)</f>
        <v>871.02272727272737</v>
      </c>
      <c r="F27" s="408">
        <f>(('Fixed Inputs &amp; Assumptions'!$C$86*(1+'Fixed Inputs &amp; Assumptions'!$C$91^(C27-2022)))*'Fixed Inputs &amp; Assumptions'!$C$94*$Q$11*($Q$12/5280)*365)</f>
        <v>522.61363636363637</v>
      </c>
      <c r="G27" s="408">
        <f>(('Fixed Inputs &amp; Assumptions'!$C$89*(1+'Fixed Inputs &amp; Assumptions'!$C$91^(C27-2022)))*'Fixed Inputs &amp; Assumptions'!$C$94*$Q$17*($Q$18/5280)*365)</f>
        <v>2125.710227272727</v>
      </c>
      <c r="H27" s="408">
        <f>(('Fixed Inputs &amp; Assumptions'!$C$90*(1+'Fixed Inputs &amp; Assumptions'!$C$91^(C27-2022)))*'Fixed Inputs &amp; Assumptions'!$C$100*($Q$15/5280)*365)</f>
        <v>3706.858428030303</v>
      </c>
      <c r="I27" s="359">
        <f t="shared" si="0"/>
        <v>7483.3641098484841</v>
      </c>
      <c r="J27" s="406">
        <f t="shared" si="1"/>
        <v>1378.8036823390296</v>
      </c>
    </row>
    <row r="28" spans="2:17">
      <c r="B28" s="269">
        <v>24</v>
      </c>
      <c r="C28" s="270">
        <v>2046</v>
      </c>
      <c r="D28" s="327">
        <f>(('Fixed Inputs &amp; Assumptions'!$C$88*(1+'Fixed Inputs &amp; Assumptions'!$C$91^(C28-2022)))*'Fixed Inputs &amp; Assumptions'!$C$94*$Q$5*($Q$6/5280)*365)</f>
        <v>257.15909090909093</v>
      </c>
      <c r="E28" s="327">
        <f>(('Fixed Inputs &amp; Assumptions'!$C$87*(1+'Fixed Inputs &amp; Assumptions'!$C$91^(C28-2022)))*'Fixed Inputs &amp; Assumptions'!$C$94*$Q$8*($Q$9/5280)*365)</f>
        <v>871.02272727272737</v>
      </c>
      <c r="F28" s="327">
        <f>(('Fixed Inputs &amp; Assumptions'!$C$86*(1+'Fixed Inputs &amp; Assumptions'!$C$91^(C28-2022)))*'Fixed Inputs &amp; Assumptions'!$C$94*$Q$11*($Q$12/5280)*365)</f>
        <v>522.61363636363637</v>
      </c>
      <c r="G28" s="327">
        <f>(('Fixed Inputs &amp; Assumptions'!$C$89*(1+'Fixed Inputs &amp; Assumptions'!$C$91^(C28-2022)))*'Fixed Inputs &amp; Assumptions'!$C$94*$Q$17*($Q$18/5280)*365)</f>
        <v>2125.710227272727</v>
      </c>
      <c r="H28" s="327">
        <f>(('Fixed Inputs &amp; Assumptions'!$C$90*(1+'Fixed Inputs &amp; Assumptions'!$C$91^(C28-2022)))*'Fixed Inputs &amp; Assumptions'!$C$100*($Q$15/5280)*365)</f>
        <v>3706.858428030303</v>
      </c>
      <c r="I28" s="272">
        <f t="shared" si="0"/>
        <v>7483.3641098484841</v>
      </c>
      <c r="J28" s="310">
        <f t="shared" si="1"/>
        <v>1288.6015722794671</v>
      </c>
    </row>
    <row r="29" spans="2:17">
      <c r="B29" s="356">
        <v>25</v>
      </c>
      <c r="C29" s="357">
        <v>2047</v>
      </c>
      <c r="D29" s="408">
        <f>(('Fixed Inputs &amp; Assumptions'!$C$88*(1+'Fixed Inputs &amp; Assumptions'!$C$91^(C29-2022)))*'Fixed Inputs &amp; Assumptions'!$C$94*$Q$5*($Q$6/5280)*365)</f>
        <v>257.15909090909093</v>
      </c>
      <c r="E29" s="408">
        <f>(('Fixed Inputs &amp; Assumptions'!$C$87*(1+'Fixed Inputs &amp; Assumptions'!$C$91^(C29-2022)))*'Fixed Inputs &amp; Assumptions'!$C$94*$Q$8*($Q$9/5280)*365)</f>
        <v>871.02272727272737</v>
      </c>
      <c r="F29" s="408">
        <f>(('Fixed Inputs &amp; Assumptions'!$C$86*(1+'Fixed Inputs &amp; Assumptions'!$C$91^(C29-2022)))*'Fixed Inputs &amp; Assumptions'!$C$94*$Q$11*($Q$12/5280)*365)</f>
        <v>522.61363636363637</v>
      </c>
      <c r="G29" s="408">
        <f>(('Fixed Inputs &amp; Assumptions'!$C$89*(1+'Fixed Inputs &amp; Assumptions'!$C$91^(C29-2022)))*'Fixed Inputs &amp; Assumptions'!$C$94*$Q$17*($Q$18/5280)*365)</f>
        <v>2125.710227272727</v>
      </c>
      <c r="H29" s="408">
        <f>(('Fixed Inputs &amp; Assumptions'!$C$90*(1+'Fixed Inputs &amp; Assumptions'!$C$91^(C29-2022)))*'Fixed Inputs &amp; Assumptions'!$C$100*($Q$15/5280)*365)</f>
        <v>3706.858428030303</v>
      </c>
      <c r="I29" s="359">
        <f t="shared" si="0"/>
        <v>7483.3641098484841</v>
      </c>
      <c r="J29" s="406">
        <f t="shared" si="1"/>
        <v>1204.3005348406232</v>
      </c>
    </row>
    <row r="30" spans="2:17">
      <c r="B30" s="269">
        <v>26</v>
      </c>
      <c r="C30" s="270">
        <v>2048</v>
      </c>
      <c r="D30" s="327">
        <f>(('Fixed Inputs &amp; Assumptions'!$C$88*(1+'Fixed Inputs &amp; Assumptions'!$C$91^(C30-2022)))*'Fixed Inputs &amp; Assumptions'!$C$94*$Q$5*($Q$6/5280)*365)</f>
        <v>257.15909090909093</v>
      </c>
      <c r="E30" s="327">
        <f>(('Fixed Inputs &amp; Assumptions'!$C$87*(1+'Fixed Inputs &amp; Assumptions'!$C$91^(C30-2022)))*'Fixed Inputs &amp; Assumptions'!$C$94*$Q$8*($Q$9/5280)*365)</f>
        <v>871.02272727272737</v>
      </c>
      <c r="F30" s="327">
        <f>(('Fixed Inputs &amp; Assumptions'!$C$86*(1+'Fixed Inputs &amp; Assumptions'!$C$91^(C30-2022)))*'Fixed Inputs &amp; Assumptions'!$C$94*$Q$11*($Q$12/5280)*365)</f>
        <v>522.61363636363637</v>
      </c>
      <c r="G30" s="327">
        <f>(('Fixed Inputs &amp; Assumptions'!$C$89*(1+'Fixed Inputs &amp; Assumptions'!$C$91^(C30-2022)))*'Fixed Inputs &amp; Assumptions'!$C$94*$Q$17*($Q$18/5280)*365)</f>
        <v>2125.710227272727</v>
      </c>
      <c r="H30" s="327">
        <f>(('Fixed Inputs &amp; Assumptions'!$C$90*(1+'Fixed Inputs &amp; Assumptions'!$C$91^(C30-2022)))*'Fixed Inputs &amp; Assumptions'!$C$100*($Q$15/5280)*365)</f>
        <v>3706.858428030303</v>
      </c>
      <c r="I30" s="272">
        <f t="shared" si="0"/>
        <v>7483.3641098484841</v>
      </c>
      <c r="J30" s="310">
        <f t="shared" si="1"/>
        <v>1125.5145185426388</v>
      </c>
    </row>
    <row r="31" spans="2:17">
      <c r="B31" s="356">
        <v>27</v>
      </c>
      <c r="C31" s="357">
        <v>2049</v>
      </c>
      <c r="D31" s="408">
        <f>(('Fixed Inputs &amp; Assumptions'!$C$88*(1+'Fixed Inputs &amp; Assumptions'!$C$91^(C31-2022)))*'Fixed Inputs &amp; Assumptions'!$C$94*$Q$5*($Q$6/5280)*365)</f>
        <v>257.15909090909093</v>
      </c>
      <c r="E31" s="408">
        <f>(('Fixed Inputs &amp; Assumptions'!$C$87*(1+'Fixed Inputs &amp; Assumptions'!$C$91^(C31-2022)))*'Fixed Inputs &amp; Assumptions'!$C$94*$Q$8*($Q$9/5280)*365)</f>
        <v>871.02272727272737</v>
      </c>
      <c r="F31" s="408">
        <f>(('Fixed Inputs &amp; Assumptions'!$C$86*(1+'Fixed Inputs &amp; Assumptions'!$C$91^(C31-2022)))*'Fixed Inputs &amp; Assumptions'!$C$94*$Q$11*($Q$12/5280)*365)</f>
        <v>522.61363636363637</v>
      </c>
      <c r="G31" s="408">
        <f>(('Fixed Inputs &amp; Assumptions'!$C$89*(1+'Fixed Inputs &amp; Assumptions'!$C$91^(C31-2022)))*'Fixed Inputs &amp; Assumptions'!$C$94*$Q$17*($Q$18/5280)*365)</f>
        <v>2125.710227272727</v>
      </c>
      <c r="H31" s="408">
        <f>(('Fixed Inputs &amp; Assumptions'!$C$90*(1+'Fixed Inputs &amp; Assumptions'!$C$91^(C31-2022)))*'Fixed Inputs &amp; Assumptions'!$C$100*($Q$15/5280)*365)</f>
        <v>3706.858428030303</v>
      </c>
      <c r="I31" s="359">
        <f t="shared" si="0"/>
        <v>7483.3641098484841</v>
      </c>
      <c r="J31" s="406">
        <f t="shared" si="1"/>
        <v>1051.8827276099428</v>
      </c>
    </row>
    <row r="32" spans="2:17">
      <c r="B32" s="269">
        <v>28</v>
      </c>
      <c r="C32" s="270">
        <v>2050</v>
      </c>
      <c r="D32" s="327">
        <f>(('Fixed Inputs &amp; Assumptions'!$C$88*(1+'Fixed Inputs &amp; Assumptions'!$C$91^(C32-2022)))*'Fixed Inputs &amp; Assumptions'!$C$94*$Q$5*($Q$6/5280)*365)</f>
        <v>257.15909090909093</v>
      </c>
      <c r="E32" s="327">
        <f>(('Fixed Inputs &amp; Assumptions'!$C$87*(1+'Fixed Inputs &amp; Assumptions'!$C$91^(C32-2022)))*'Fixed Inputs &amp; Assumptions'!$C$94*$Q$8*($Q$9/5280)*365)</f>
        <v>871.02272727272737</v>
      </c>
      <c r="F32" s="327">
        <f>(('Fixed Inputs &amp; Assumptions'!$C$86*(1+'Fixed Inputs &amp; Assumptions'!$C$91^(C32-2022)))*'Fixed Inputs &amp; Assumptions'!$C$94*$Q$11*($Q$12/5280)*365)</f>
        <v>522.61363636363637</v>
      </c>
      <c r="G32" s="327">
        <f>(('Fixed Inputs &amp; Assumptions'!$C$89*(1+'Fixed Inputs &amp; Assumptions'!$C$91^(C32-2022)))*'Fixed Inputs &amp; Assumptions'!$C$94*$Q$17*($Q$18/5280)*365)</f>
        <v>2125.710227272727</v>
      </c>
      <c r="H32" s="327">
        <f>(('Fixed Inputs &amp; Assumptions'!$C$90*(1+'Fixed Inputs &amp; Assumptions'!$C$91^(C32-2022)))*'Fixed Inputs &amp; Assumptions'!$C$100*($Q$15/5280)*365)</f>
        <v>3706.858428030303</v>
      </c>
      <c r="I32" s="272">
        <f t="shared" si="0"/>
        <v>7483.3641098484841</v>
      </c>
      <c r="J32" s="310">
        <f t="shared" si="1"/>
        <v>983.06796972891846</v>
      </c>
    </row>
    <row r="33" spans="2:13">
      <c r="B33" s="356">
        <v>29</v>
      </c>
      <c r="C33" s="357">
        <v>2051</v>
      </c>
      <c r="D33" s="408">
        <f>(('Fixed Inputs &amp; Assumptions'!$C$88*(1+'Fixed Inputs &amp; Assumptions'!$C$91^(C33-2022)))*'Fixed Inputs &amp; Assumptions'!$C$94*$Q$5*($Q$6/5280)*365)</f>
        <v>257.15909090909093</v>
      </c>
      <c r="E33" s="408">
        <f>(('Fixed Inputs &amp; Assumptions'!$C$87*(1+'Fixed Inputs &amp; Assumptions'!$C$91^(C33-2022)))*'Fixed Inputs &amp; Assumptions'!$C$94*$Q$8*($Q$9/5280)*365)</f>
        <v>871.02272727272737</v>
      </c>
      <c r="F33" s="408">
        <f>(('Fixed Inputs &amp; Assumptions'!$C$86*(1+'Fixed Inputs &amp; Assumptions'!$C$91^(C33-2022)))*'Fixed Inputs &amp; Assumptions'!$C$94*$Q$11*($Q$12/5280)*365)</f>
        <v>522.61363636363637</v>
      </c>
      <c r="G33" s="408">
        <f>(('Fixed Inputs &amp; Assumptions'!$C$89*(1+'Fixed Inputs &amp; Assumptions'!$C$91^(C33-2022)))*'Fixed Inputs &amp; Assumptions'!$C$94*$Q$17*($Q$18/5280)*365)</f>
        <v>2125.710227272727</v>
      </c>
      <c r="H33" s="408">
        <f>(('Fixed Inputs &amp; Assumptions'!$C$90*(1+'Fixed Inputs &amp; Assumptions'!$C$91^(C33-2022)))*'Fixed Inputs &amp; Assumptions'!$C$100*($Q$15/5280)*365)</f>
        <v>3706.858428030303</v>
      </c>
      <c r="I33" s="359">
        <f t="shared" si="0"/>
        <v>7483.3641098484841</v>
      </c>
      <c r="J33" s="406">
        <f t="shared" si="1"/>
        <v>918.75511189618533</v>
      </c>
    </row>
    <row r="34" spans="2:13" ht="16.5" thickBot="1">
      <c r="B34" s="269">
        <v>30</v>
      </c>
      <c r="C34" s="270">
        <v>2052</v>
      </c>
      <c r="D34" s="327">
        <f>(('Fixed Inputs &amp; Assumptions'!$C$88*(1+'Fixed Inputs &amp; Assumptions'!$C$91^(C34-2022)))*'Fixed Inputs &amp; Assumptions'!$C$94*$Q$5*($Q$6/5280)*365)</f>
        <v>257.15909090909093</v>
      </c>
      <c r="E34" s="327">
        <f>(('Fixed Inputs &amp; Assumptions'!$C$87*(1+'Fixed Inputs &amp; Assumptions'!$C$91^(C34-2022)))*'Fixed Inputs &amp; Assumptions'!$C$94*$Q$8*($Q$9/5280)*365)</f>
        <v>871.02272727272737</v>
      </c>
      <c r="F34" s="327">
        <f>(('Fixed Inputs &amp; Assumptions'!$C$86*(1+'Fixed Inputs &amp; Assumptions'!$C$91^(C34-2022)))*'Fixed Inputs &amp; Assumptions'!$C$94*$Q$11*($Q$12/5280)*365)</f>
        <v>522.61363636363637</v>
      </c>
      <c r="G34" s="327">
        <f>(('Fixed Inputs &amp; Assumptions'!$C$89*(1+'Fixed Inputs &amp; Assumptions'!$C$91^(C34-2022)))*'Fixed Inputs &amp; Assumptions'!$C$94*$Q$17*($Q$18/5280)*365)</f>
        <v>2125.710227272727</v>
      </c>
      <c r="H34" s="327">
        <f>(('Fixed Inputs &amp; Assumptions'!$C$90*(1+'Fixed Inputs &amp; Assumptions'!$C$91^(C34-2022)))*'Fixed Inputs &amp; Assumptions'!$C$100*($Q$15/5280)*365)</f>
        <v>3706.858428030303</v>
      </c>
      <c r="I34" s="326">
        <f t="shared" si="0"/>
        <v>7483.3641098484841</v>
      </c>
      <c r="J34" s="310">
        <f t="shared" si="1"/>
        <v>858.64963728615464</v>
      </c>
    </row>
    <row r="35" spans="2:13" ht="20.100000000000001" customHeight="1" thickBot="1">
      <c r="B35" s="531" t="s">
        <v>73</v>
      </c>
      <c r="C35" s="532"/>
      <c r="D35" s="532"/>
      <c r="E35" s="532"/>
      <c r="F35" s="532"/>
      <c r="G35" s="532"/>
      <c r="H35" s="532"/>
      <c r="I35" s="533"/>
      <c r="J35" s="328">
        <f>SUM(J4:J34)</f>
        <v>54308.763293581556</v>
      </c>
      <c r="M35" s="58"/>
    </row>
    <row r="36" spans="2:13">
      <c r="B36" s="577" t="s">
        <v>74</v>
      </c>
      <c r="C36" s="577"/>
      <c r="D36" s="577"/>
      <c r="E36" s="577"/>
      <c r="F36" s="577"/>
      <c r="G36" s="577"/>
      <c r="H36" s="577"/>
      <c r="I36" s="577"/>
      <c r="J36" s="257"/>
    </row>
    <row r="37" spans="2:13">
      <c r="B37" s="578" t="s">
        <v>249</v>
      </c>
      <c r="C37" s="578"/>
      <c r="D37" s="578"/>
      <c r="E37" s="578"/>
      <c r="F37" s="578"/>
      <c r="G37" s="578"/>
      <c r="H37" s="578"/>
      <c r="I37" s="578"/>
    </row>
  </sheetData>
  <mergeCells count="5">
    <mergeCell ref="B36:I36"/>
    <mergeCell ref="B2:J2"/>
    <mergeCell ref="B35:I35"/>
    <mergeCell ref="B37:I37"/>
    <mergeCell ref="P3:Q3"/>
  </mergeCells>
  <pageMargins left="0.7" right="0.7" top="0.75" bottom="0.75" header="0.3" footer="0.3"/>
  <pageSetup scale="46" orientation="landscape" r:id="rId1"/>
  <ignoredErrors>
    <ignoredError sqref="I4:I6"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2CB6A-51A4-4C6F-B1D3-0A67686F9FDD}">
  <sheetPr>
    <tabColor theme="7"/>
  </sheetPr>
  <dimension ref="B1:U111"/>
  <sheetViews>
    <sheetView topLeftCell="C1" workbookViewId="0">
      <selection activeCell="M2" sqref="M2:S9"/>
    </sheetView>
  </sheetViews>
  <sheetFormatPr defaultRowHeight="15"/>
  <cols>
    <col min="2" max="2" width="51.140625" bestFit="1" customWidth="1"/>
    <col min="3" max="3" width="13.140625" bestFit="1" customWidth="1"/>
    <col min="4" max="4" width="46.28515625" customWidth="1"/>
    <col min="7" max="7" width="10" customWidth="1"/>
    <col min="10" max="10" width="10" bestFit="1" customWidth="1"/>
    <col min="13" max="13" width="25.85546875" customWidth="1"/>
    <col min="14" max="14" width="9.28515625" bestFit="1" customWidth="1"/>
    <col min="15" max="16" width="15.7109375" bestFit="1" customWidth="1"/>
    <col min="17" max="19" width="17.140625" bestFit="1" customWidth="1"/>
    <col min="21" max="21" width="13.7109375" bestFit="1" customWidth="1"/>
  </cols>
  <sheetData>
    <row r="1" spans="2:21" ht="14.45" customHeight="1" thickBot="1">
      <c r="B1" s="219"/>
      <c r="C1" s="219"/>
      <c r="D1" s="219"/>
    </row>
    <row r="2" spans="2:21" ht="15" customHeight="1" thickBot="1">
      <c r="B2" s="586" t="s">
        <v>250</v>
      </c>
      <c r="C2" s="587"/>
      <c r="D2" s="576"/>
      <c r="G2" s="590" t="s">
        <v>251</v>
      </c>
      <c r="H2" s="591"/>
      <c r="I2" s="591"/>
      <c r="J2" s="591"/>
      <c r="K2" s="591"/>
      <c r="M2" s="534" t="s">
        <v>252</v>
      </c>
      <c r="N2" s="535"/>
      <c r="O2" s="535"/>
      <c r="P2" s="535"/>
      <c r="Q2" s="535"/>
      <c r="R2" s="535"/>
      <c r="S2" s="536"/>
    </row>
    <row r="3" spans="2:21" ht="18">
      <c r="B3" s="220" t="s">
        <v>253</v>
      </c>
      <c r="C3" s="1"/>
      <c r="D3" s="595"/>
      <c r="G3" s="414" t="s">
        <v>52</v>
      </c>
      <c r="H3" s="414" t="s">
        <v>254</v>
      </c>
      <c r="I3" s="414" t="s">
        <v>255</v>
      </c>
      <c r="J3" s="414" t="s">
        <v>256</v>
      </c>
      <c r="K3" s="415" t="s">
        <v>257</v>
      </c>
      <c r="M3" s="476" t="s">
        <v>258</v>
      </c>
      <c r="N3" s="477">
        <v>2022</v>
      </c>
      <c r="O3" s="477">
        <v>2023</v>
      </c>
      <c r="P3" s="477">
        <v>2024</v>
      </c>
      <c r="Q3" s="477">
        <v>2025</v>
      </c>
      <c r="R3" s="477">
        <v>2026</v>
      </c>
      <c r="S3" s="478">
        <v>2027</v>
      </c>
    </row>
    <row r="4" spans="2:21">
      <c r="B4" s="221" t="s">
        <v>259</v>
      </c>
      <c r="C4" s="2">
        <v>30</v>
      </c>
      <c r="D4" s="596"/>
      <c r="G4" s="34">
        <v>2021</v>
      </c>
      <c r="H4" s="35">
        <v>15600</v>
      </c>
      <c r="I4" s="35">
        <v>41500</v>
      </c>
      <c r="J4" s="35">
        <v>748600</v>
      </c>
      <c r="K4" s="196">
        <v>52</v>
      </c>
      <c r="M4" s="340" t="s">
        <v>260</v>
      </c>
      <c r="N4" s="479"/>
      <c r="O4" s="479">
        <f>0.75*9311580</f>
        <v>6983685</v>
      </c>
      <c r="P4" s="479">
        <f>0.25*9311580</f>
        <v>2327895</v>
      </c>
      <c r="Q4" s="479"/>
      <c r="R4" s="479"/>
      <c r="S4" s="480"/>
      <c r="U4" s="172"/>
    </row>
    <row r="5" spans="2:21">
      <c r="B5" s="222" t="s">
        <v>261</v>
      </c>
      <c r="C5" s="29"/>
      <c r="D5" s="583" t="s">
        <v>262</v>
      </c>
      <c r="G5" s="34">
        <v>2022</v>
      </c>
      <c r="H5" s="35">
        <v>15800</v>
      </c>
      <c r="I5" s="35">
        <v>42300</v>
      </c>
      <c r="J5" s="35">
        <v>761600</v>
      </c>
      <c r="K5" s="196">
        <v>53</v>
      </c>
      <c r="M5" s="350" t="s">
        <v>263</v>
      </c>
      <c r="N5" s="481"/>
      <c r="O5" s="481"/>
      <c r="P5" s="481">
        <v>5696500</v>
      </c>
      <c r="Q5" s="481"/>
      <c r="R5" s="481"/>
      <c r="S5" s="482"/>
      <c r="U5" s="214"/>
    </row>
    <row r="6" spans="2:21">
      <c r="B6" s="223" t="s">
        <v>264</v>
      </c>
      <c r="C6" s="30"/>
      <c r="D6" s="584"/>
      <c r="G6" s="34">
        <v>2023</v>
      </c>
      <c r="H6" s="35">
        <v>16000</v>
      </c>
      <c r="I6" s="35">
        <v>43100</v>
      </c>
      <c r="J6" s="35">
        <v>774700</v>
      </c>
      <c r="K6" s="196">
        <v>54</v>
      </c>
      <c r="M6" s="340" t="s">
        <v>265</v>
      </c>
      <c r="N6" s="479"/>
      <c r="O6" s="479"/>
      <c r="P6" s="479"/>
      <c r="Q6" s="479">
        <v>3144000</v>
      </c>
      <c r="R6" s="479"/>
      <c r="S6" s="480"/>
      <c r="U6" s="214"/>
    </row>
    <row r="7" spans="2:21">
      <c r="B7" s="223" t="s">
        <v>266</v>
      </c>
      <c r="C7" s="165">
        <v>113.42</v>
      </c>
      <c r="D7" s="584"/>
      <c r="G7" s="34">
        <v>2024</v>
      </c>
      <c r="H7" s="35">
        <v>16200</v>
      </c>
      <c r="I7" s="35">
        <v>44000</v>
      </c>
      <c r="J7" s="35">
        <v>788100</v>
      </c>
      <c r="K7" s="196">
        <v>55</v>
      </c>
      <c r="M7" s="350" t="s">
        <v>267</v>
      </c>
      <c r="N7" s="481"/>
      <c r="O7" s="481"/>
      <c r="P7" s="481"/>
      <c r="Q7" s="481">
        <f>9965221/3</f>
        <v>3321740.3333333335</v>
      </c>
      <c r="R7" s="481">
        <f t="shared" ref="R7:S7" si="0">9965221/3</f>
        <v>3321740.3333333335</v>
      </c>
      <c r="S7" s="482">
        <f t="shared" si="0"/>
        <v>3321740.3333333335</v>
      </c>
      <c r="U7" s="214"/>
    </row>
    <row r="8" spans="2:21">
      <c r="B8" s="223" t="s">
        <v>268</v>
      </c>
      <c r="C8" s="165">
        <v>500</v>
      </c>
      <c r="D8" s="584"/>
      <c r="G8" s="34">
        <v>2025</v>
      </c>
      <c r="H8" s="35">
        <v>16500</v>
      </c>
      <c r="I8" s="35">
        <v>44900</v>
      </c>
      <c r="J8" s="35">
        <v>801700</v>
      </c>
      <c r="K8" s="196">
        <v>56</v>
      </c>
      <c r="M8" s="340" t="s">
        <v>269</v>
      </c>
      <c r="N8" s="479"/>
      <c r="O8" s="479"/>
      <c r="P8" s="479"/>
      <c r="Q8" s="479">
        <f>81306296/3</f>
        <v>27102098.666666668</v>
      </c>
      <c r="R8" s="479">
        <f t="shared" ref="R8:S8" si="1">81306296/3</f>
        <v>27102098.666666668</v>
      </c>
      <c r="S8" s="480">
        <f t="shared" si="1"/>
        <v>27102098.666666668</v>
      </c>
      <c r="U8" s="214"/>
    </row>
    <row r="9" spans="2:21" ht="15.75" thickBot="1">
      <c r="B9" s="224" t="s">
        <v>270</v>
      </c>
      <c r="C9" s="167">
        <v>1193</v>
      </c>
      <c r="D9" s="584"/>
      <c r="G9" s="34">
        <v>2026</v>
      </c>
      <c r="H9" s="35">
        <v>16800</v>
      </c>
      <c r="I9" s="35">
        <v>45700</v>
      </c>
      <c r="J9" s="35">
        <v>814500</v>
      </c>
      <c r="K9" s="196">
        <v>57</v>
      </c>
      <c r="M9" s="483" t="s">
        <v>271</v>
      </c>
      <c r="N9" s="484">
        <f>SUM(N4:N8)</f>
        <v>0</v>
      </c>
      <c r="O9" s="484">
        <f t="shared" ref="O9:S9" si="2">SUM(O4:O8)</f>
        <v>6983685</v>
      </c>
      <c r="P9" s="484">
        <f t="shared" si="2"/>
        <v>8024395</v>
      </c>
      <c r="Q9" s="484">
        <f t="shared" si="2"/>
        <v>33567839</v>
      </c>
      <c r="R9" s="484">
        <f t="shared" si="2"/>
        <v>30423839</v>
      </c>
      <c r="S9" s="485">
        <f t="shared" si="2"/>
        <v>30423839</v>
      </c>
      <c r="U9" s="214">
        <f>SUM(O9:S9)</f>
        <v>109423597</v>
      </c>
    </row>
    <row r="10" spans="2:21">
      <c r="B10" s="224" t="s">
        <v>272</v>
      </c>
      <c r="C10" s="167">
        <v>825</v>
      </c>
      <c r="D10" s="584"/>
      <c r="G10" s="34">
        <v>2027</v>
      </c>
      <c r="H10" s="35">
        <v>17100</v>
      </c>
      <c r="I10" s="35">
        <v>46500</v>
      </c>
      <c r="J10" s="35">
        <v>827400</v>
      </c>
      <c r="K10" s="196">
        <v>58</v>
      </c>
    </row>
    <row r="11" spans="2:21">
      <c r="B11" s="224" t="s">
        <v>273</v>
      </c>
      <c r="C11" s="165">
        <v>115986</v>
      </c>
      <c r="D11" s="584"/>
      <c r="G11" s="34">
        <v>2028</v>
      </c>
      <c r="H11" s="35">
        <v>17400</v>
      </c>
      <c r="I11" s="35">
        <v>47300</v>
      </c>
      <c r="J11" s="35">
        <v>840600</v>
      </c>
      <c r="K11" s="196">
        <v>60</v>
      </c>
      <c r="U11" s="214"/>
    </row>
    <row r="12" spans="2:21">
      <c r="B12" s="224" t="s">
        <v>274</v>
      </c>
      <c r="C12" s="167">
        <v>31680</v>
      </c>
      <c r="D12" s="584"/>
      <c r="G12" s="34">
        <v>2029</v>
      </c>
      <c r="H12" s="35">
        <v>17700</v>
      </c>
      <c r="I12" s="35">
        <v>48200</v>
      </c>
      <c r="J12" s="35">
        <v>854000</v>
      </c>
      <c r="K12" s="196">
        <v>61</v>
      </c>
    </row>
    <row r="13" spans="2:21">
      <c r="B13" s="223" t="s">
        <v>275</v>
      </c>
      <c r="C13" s="165">
        <v>500</v>
      </c>
      <c r="D13" s="584"/>
      <c r="G13" s="34">
        <v>2030</v>
      </c>
      <c r="H13" s="35">
        <v>18100</v>
      </c>
      <c r="I13" s="35">
        <v>49100</v>
      </c>
      <c r="J13" s="35">
        <v>867600</v>
      </c>
      <c r="K13" s="196">
        <v>62</v>
      </c>
    </row>
    <row r="14" spans="2:21">
      <c r="B14" s="223" t="s">
        <v>276</v>
      </c>
      <c r="C14" s="165">
        <v>500</v>
      </c>
      <c r="D14" s="584"/>
      <c r="G14" s="34">
        <v>2031</v>
      </c>
      <c r="H14" s="35">
        <v>18100</v>
      </c>
      <c r="I14" s="35">
        <v>49100</v>
      </c>
      <c r="J14" s="35">
        <v>867600</v>
      </c>
      <c r="K14" s="196">
        <v>63</v>
      </c>
    </row>
    <row r="15" spans="2:21">
      <c r="B15" s="223" t="s">
        <v>277</v>
      </c>
      <c r="C15" s="165">
        <v>10000</v>
      </c>
      <c r="D15" s="584"/>
      <c r="G15" s="34">
        <v>2032</v>
      </c>
      <c r="H15" s="35">
        <v>18100</v>
      </c>
      <c r="I15" s="35">
        <v>49100</v>
      </c>
      <c r="J15" s="35">
        <v>867600</v>
      </c>
      <c r="K15" s="196">
        <v>64</v>
      </c>
    </row>
    <row r="16" spans="2:21">
      <c r="B16" s="223" t="s">
        <v>278</v>
      </c>
      <c r="C16" s="166">
        <v>31</v>
      </c>
      <c r="D16" s="584"/>
      <c r="G16" s="34">
        <v>2033</v>
      </c>
      <c r="H16" s="35">
        <v>18100</v>
      </c>
      <c r="I16" s="35">
        <v>49100</v>
      </c>
      <c r="J16" s="35">
        <v>867600</v>
      </c>
      <c r="K16" s="196">
        <v>65</v>
      </c>
    </row>
    <row r="17" spans="2:11">
      <c r="B17" s="223" t="s">
        <v>279</v>
      </c>
      <c r="C17" s="166">
        <v>0.04</v>
      </c>
      <c r="D17" s="584"/>
      <c r="G17" s="34">
        <v>2034</v>
      </c>
      <c r="H17" s="35">
        <v>18100</v>
      </c>
      <c r="I17" s="35">
        <v>49100</v>
      </c>
      <c r="J17" s="35">
        <v>867600</v>
      </c>
      <c r="K17" s="196">
        <v>66</v>
      </c>
    </row>
    <row r="18" spans="2:11">
      <c r="B18" s="223" t="s">
        <v>280</v>
      </c>
      <c r="C18" s="166">
        <v>47.54</v>
      </c>
      <c r="D18" s="584"/>
      <c r="G18" s="34">
        <v>2035</v>
      </c>
      <c r="H18" s="35">
        <v>18100</v>
      </c>
      <c r="I18" s="35">
        <v>49100</v>
      </c>
      <c r="J18" s="35">
        <v>867600</v>
      </c>
      <c r="K18" s="196">
        <v>67</v>
      </c>
    </row>
    <row r="19" spans="2:11">
      <c r="B19" s="223" t="s">
        <v>281</v>
      </c>
      <c r="C19" s="165">
        <v>430</v>
      </c>
      <c r="D19" s="584"/>
      <c r="G19" s="34">
        <v>2036</v>
      </c>
      <c r="H19" s="35">
        <v>18100</v>
      </c>
      <c r="I19" s="35">
        <v>49100</v>
      </c>
      <c r="J19" s="35">
        <v>867600</v>
      </c>
      <c r="K19" s="196">
        <v>69</v>
      </c>
    </row>
    <row r="20" spans="2:11">
      <c r="B20" s="223" t="s">
        <v>282</v>
      </c>
      <c r="C20" s="165">
        <v>5000</v>
      </c>
      <c r="D20" s="584"/>
      <c r="G20" s="34">
        <v>2037</v>
      </c>
      <c r="H20" s="35">
        <v>18100</v>
      </c>
      <c r="I20" s="35">
        <v>49100</v>
      </c>
      <c r="J20" s="35">
        <v>867600</v>
      </c>
      <c r="K20" s="196">
        <v>70</v>
      </c>
    </row>
    <row r="21" spans="2:11">
      <c r="B21" s="223" t="s">
        <v>283</v>
      </c>
      <c r="C21" s="165">
        <v>35000</v>
      </c>
      <c r="D21" s="584"/>
      <c r="G21" s="34">
        <v>2038</v>
      </c>
      <c r="H21" s="35">
        <v>18100</v>
      </c>
      <c r="I21" s="35">
        <v>49100</v>
      </c>
      <c r="J21" s="35">
        <v>867600</v>
      </c>
      <c r="K21" s="196">
        <v>71</v>
      </c>
    </row>
    <row r="22" spans="2:11">
      <c r="B22" s="225" t="s">
        <v>284</v>
      </c>
      <c r="C22" s="197">
        <v>248</v>
      </c>
      <c r="D22" s="585"/>
      <c r="G22" s="34">
        <v>2039</v>
      </c>
      <c r="H22" s="35">
        <v>18100</v>
      </c>
      <c r="I22" s="35">
        <v>49100</v>
      </c>
      <c r="J22" s="35">
        <v>867600</v>
      </c>
      <c r="K22" s="196">
        <v>72</v>
      </c>
    </row>
    <row r="23" spans="2:11">
      <c r="B23" s="223" t="s">
        <v>285</v>
      </c>
      <c r="C23" s="198">
        <v>19</v>
      </c>
      <c r="D23" s="588"/>
      <c r="G23" s="34">
        <v>2040</v>
      </c>
      <c r="H23" s="35">
        <v>18100</v>
      </c>
      <c r="I23" s="35">
        <v>49100</v>
      </c>
      <c r="J23" s="35">
        <v>867600</v>
      </c>
      <c r="K23" s="196">
        <v>73</v>
      </c>
    </row>
    <row r="24" spans="2:11">
      <c r="B24" s="223" t="s">
        <v>286</v>
      </c>
      <c r="C24" s="216">
        <v>28.5</v>
      </c>
      <c r="D24" s="584"/>
      <c r="G24" s="34">
        <v>2041</v>
      </c>
      <c r="H24" s="35">
        <v>18100</v>
      </c>
      <c r="I24" s="35">
        <v>49100</v>
      </c>
      <c r="J24" s="35">
        <v>867600</v>
      </c>
      <c r="K24" s="196">
        <v>74</v>
      </c>
    </row>
    <row r="25" spans="2:11">
      <c r="B25" s="221" t="s">
        <v>287</v>
      </c>
      <c r="C25" s="40">
        <v>4.75</v>
      </c>
      <c r="D25" s="589"/>
      <c r="G25" s="34">
        <v>2042</v>
      </c>
      <c r="H25" s="35">
        <v>18100</v>
      </c>
      <c r="I25" s="35">
        <v>49100</v>
      </c>
      <c r="J25" s="35">
        <v>867600</v>
      </c>
      <c r="K25" s="196">
        <v>75</v>
      </c>
    </row>
    <row r="26" spans="2:11">
      <c r="B26" s="220" t="s">
        <v>288</v>
      </c>
      <c r="C26" s="218"/>
      <c r="D26" s="592" t="s">
        <v>289</v>
      </c>
      <c r="G26" s="34">
        <v>2043</v>
      </c>
      <c r="H26" s="35">
        <v>18100</v>
      </c>
      <c r="I26" s="35">
        <v>49100</v>
      </c>
      <c r="J26" s="35">
        <v>867600</v>
      </c>
      <c r="K26" s="196">
        <v>77</v>
      </c>
    </row>
    <row r="27" spans="2:11">
      <c r="B27" s="226" t="s">
        <v>290</v>
      </c>
      <c r="C27" s="165">
        <v>109423597</v>
      </c>
      <c r="D27" s="593"/>
      <c r="G27" s="34">
        <v>2044</v>
      </c>
      <c r="H27" s="35">
        <v>18100</v>
      </c>
      <c r="I27" s="35">
        <v>49100</v>
      </c>
      <c r="J27" s="35">
        <v>867600</v>
      </c>
      <c r="K27" s="196">
        <v>78</v>
      </c>
    </row>
    <row r="28" spans="2:11">
      <c r="B28" s="227" t="s">
        <v>291</v>
      </c>
      <c r="C28" s="217">
        <v>50</v>
      </c>
      <c r="D28" s="594"/>
      <c r="G28" s="34">
        <v>2045</v>
      </c>
      <c r="H28" s="35">
        <v>18100</v>
      </c>
      <c r="I28" s="35">
        <v>49100</v>
      </c>
      <c r="J28" s="35">
        <v>867600</v>
      </c>
      <c r="K28" s="196">
        <v>79</v>
      </c>
    </row>
    <row r="29" spans="2:11">
      <c r="B29" s="228" t="s">
        <v>292</v>
      </c>
      <c r="C29" s="13"/>
      <c r="D29" s="229"/>
      <c r="G29" s="34">
        <v>2046</v>
      </c>
      <c r="H29" s="35">
        <v>18100</v>
      </c>
      <c r="I29" s="35">
        <v>49100</v>
      </c>
      <c r="J29" s="35">
        <v>867600</v>
      </c>
      <c r="K29" s="196">
        <v>80</v>
      </c>
    </row>
    <row r="30" spans="2:11">
      <c r="B30" s="226" t="s">
        <v>293</v>
      </c>
      <c r="C30" s="39">
        <v>2025</v>
      </c>
      <c r="D30" s="229"/>
      <c r="G30" s="34">
        <v>2047</v>
      </c>
      <c r="H30" s="35">
        <v>18100</v>
      </c>
      <c r="I30" s="35">
        <v>49100</v>
      </c>
      <c r="J30" s="35">
        <v>867600</v>
      </c>
      <c r="K30" s="196">
        <v>81</v>
      </c>
    </row>
    <row r="31" spans="2:11">
      <c r="B31" s="226" t="s">
        <v>294</v>
      </c>
      <c r="C31" s="39">
        <v>3</v>
      </c>
      <c r="D31" s="229"/>
      <c r="G31" s="34">
        <v>2048</v>
      </c>
      <c r="H31" s="35">
        <v>18100</v>
      </c>
      <c r="I31" s="35">
        <v>49100</v>
      </c>
      <c r="J31" s="35">
        <v>867600</v>
      </c>
      <c r="K31" s="196">
        <v>82</v>
      </c>
    </row>
    <row r="32" spans="2:11">
      <c r="B32" s="230" t="s">
        <v>295</v>
      </c>
      <c r="C32" s="28"/>
      <c r="D32" s="231"/>
      <c r="G32" s="34">
        <v>2049</v>
      </c>
      <c r="H32" s="35">
        <v>18100</v>
      </c>
      <c r="I32" s="35">
        <v>49100</v>
      </c>
      <c r="J32" s="35">
        <v>867600</v>
      </c>
      <c r="K32" s="196">
        <v>83</v>
      </c>
    </row>
    <row r="33" spans="2:11">
      <c r="B33" s="232" t="s">
        <v>296</v>
      </c>
      <c r="C33" s="168">
        <v>0.26</v>
      </c>
      <c r="D33" s="600" t="s">
        <v>297</v>
      </c>
      <c r="G33" s="34">
        <v>2050</v>
      </c>
      <c r="H33" s="35">
        <v>18100</v>
      </c>
      <c r="I33" s="35">
        <v>49100</v>
      </c>
      <c r="J33" s="35">
        <v>867600</v>
      </c>
      <c r="K33" s="196">
        <v>85</v>
      </c>
    </row>
    <row r="34" spans="2:11">
      <c r="B34" s="232" t="s">
        <v>298</v>
      </c>
      <c r="C34" s="168">
        <f>1-C33</f>
        <v>0.74</v>
      </c>
      <c r="D34" s="600"/>
      <c r="G34" s="34">
        <v>2051</v>
      </c>
      <c r="H34" s="35">
        <v>18100</v>
      </c>
      <c r="I34" s="35">
        <v>49100</v>
      </c>
      <c r="J34" s="35">
        <v>867600</v>
      </c>
      <c r="K34" s="196">
        <v>85</v>
      </c>
    </row>
    <row r="35" spans="2:11" ht="15" customHeight="1">
      <c r="B35" s="233" t="s">
        <v>299</v>
      </c>
      <c r="C35" s="169">
        <v>8.5000000000000006E-3</v>
      </c>
      <c r="D35" s="234" t="s">
        <v>300</v>
      </c>
      <c r="G35" s="34">
        <v>2052</v>
      </c>
      <c r="H35" s="35">
        <v>18100</v>
      </c>
      <c r="I35" s="35">
        <v>49100</v>
      </c>
      <c r="J35" s="35">
        <v>867600</v>
      </c>
      <c r="K35" s="196">
        <v>85</v>
      </c>
    </row>
    <row r="36" spans="2:11" ht="15" customHeight="1">
      <c r="B36" s="235" t="s">
        <v>301</v>
      </c>
      <c r="C36" s="164">
        <v>0.19</v>
      </c>
      <c r="D36" s="262" t="s">
        <v>302</v>
      </c>
      <c r="G36" s="580" t="s">
        <v>303</v>
      </c>
      <c r="H36" s="580"/>
      <c r="I36" s="580"/>
      <c r="J36" s="580"/>
      <c r="K36" s="580"/>
    </row>
    <row r="37" spans="2:11" ht="15" customHeight="1">
      <c r="B37" s="232" t="s">
        <v>304</v>
      </c>
      <c r="C37" s="13">
        <v>1.67</v>
      </c>
      <c r="D37" s="601" t="s">
        <v>305</v>
      </c>
      <c r="G37" s="581"/>
      <c r="H37" s="581"/>
      <c r="I37" s="581"/>
      <c r="J37" s="581"/>
      <c r="K37" s="581"/>
    </row>
    <row r="38" spans="2:11" ht="15" customHeight="1">
      <c r="B38" s="236" t="s">
        <v>306</v>
      </c>
      <c r="C38" s="27">
        <v>1</v>
      </c>
      <c r="D38" s="602"/>
      <c r="G38" s="582" t="s">
        <v>307</v>
      </c>
      <c r="H38" s="582"/>
      <c r="I38" s="582"/>
      <c r="J38" s="582"/>
      <c r="K38" s="582"/>
    </row>
    <row r="39" spans="2:11" ht="15" customHeight="1">
      <c r="B39" s="228" t="s">
        <v>308</v>
      </c>
      <c r="C39" s="3"/>
      <c r="D39" s="603" t="s">
        <v>305</v>
      </c>
      <c r="G39" s="263"/>
    </row>
    <row r="40" spans="2:11">
      <c r="B40" s="226" t="s">
        <v>264</v>
      </c>
      <c r="C40" s="3"/>
      <c r="D40" s="603"/>
    </row>
    <row r="41" spans="2:11">
      <c r="B41" s="237" t="s">
        <v>309</v>
      </c>
      <c r="C41" s="3"/>
      <c r="D41" s="603"/>
    </row>
    <row r="42" spans="2:11">
      <c r="B42" s="226" t="s">
        <v>310</v>
      </c>
      <c r="C42" s="4">
        <v>16.2</v>
      </c>
      <c r="D42" s="603"/>
    </row>
    <row r="43" spans="2:11">
      <c r="B43" s="226" t="s">
        <v>311</v>
      </c>
      <c r="C43" s="4">
        <v>29.4</v>
      </c>
      <c r="D43" s="603"/>
    </row>
    <row r="44" spans="2:11">
      <c r="B44" s="226" t="s">
        <v>312</v>
      </c>
      <c r="C44" s="4">
        <v>17.8</v>
      </c>
      <c r="D44" s="603"/>
    </row>
    <row r="45" spans="2:11">
      <c r="B45" s="237" t="s">
        <v>313</v>
      </c>
      <c r="C45" s="4"/>
      <c r="D45" s="603"/>
    </row>
    <row r="46" spans="2:11">
      <c r="B46" s="226" t="s">
        <v>314</v>
      </c>
      <c r="C46" s="4">
        <v>32</v>
      </c>
      <c r="D46" s="603"/>
    </row>
    <row r="47" spans="2:11">
      <c r="B47" s="226" t="s">
        <v>315</v>
      </c>
      <c r="C47" s="4">
        <v>33.6</v>
      </c>
      <c r="D47" s="603"/>
    </row>
    <row r="48" spans="2:11">
      <c r="B48" s="237" t="s">
        <v>316</v>
      </c>
      <c r="C48" s="4"/>
      <c r="D48" s="238"/>
    </row>
    <row r="49" spans="2:4">
      <c r="B49" s="226" t="s">
        <v>317</v>
      </c>
      <c r="C49" s="4">
        <v>32.4</v>
      </c>
      <c r="D49" s="238"/>
    </row>
    <row r="50" spans="2:4">
      <c r="B50" s="239" t="s">
        <v>318</v>
      </c>
      <c r="C50" s="5"/>
      <c r="D50" s="604" t="s">
        <v>305</v>
      </c>
    </row>
    <row r="51" spans="2:4">
      <c r="B51" s="226" t="s">
        <v>264</v>
      </c>
      <c r="C51" s="3"/>
      <c r="D51" s="603"/>
    </row>
    <row r="52" spans="2:4">
      <c r="B52" s="226" t="s">
        <v>319</v>
      </c>
      <c r="C52" s="6">
        <v>3900</v>
      </c>
      <c r="D52" s="603"/>
    </row>
    <row r="53" spans="2:4">
      <c r="B53" s="226" t="s">
        <v>320</v>
      </c>
      <c r="C53" s="6">
        <v>77200</v>
      </c>
      <c r="D53" s="603"/>
    </row>
    <row r="54" spans="2:4">
      <c r="B54" s="226" t="s">
        <v>321</v>
      </c>
      <c r="C54" s="6">
        <v>151100</v>
      </c>
      <c r="D54" s="603"/>
    </row>
    <row r="55" spans="2:4">
      <c r="B55" s="226" t="s">
        <v>322</v>
      </c>
      <c r="C55" s="6">
        <v>554800</v>
      </c>
      <c r="D55" s="603"/>
    </row>
    <row r="56" spans="2:4">
      <c r="B56" s="226" t="s">
        <v>323</v>
      </c>
      <c r="C56" s="6">
        <v>11600000</v>
      </c>
      <c r="D56" s="603"/>
    </row>
    <row r="57" spans="2:4">
      <c r="B57" s="226" t="s">
        <v>324</v>
      </c>
      <c r="C57" s="6">
        <v>210300</v>
      </c>
      <c r="D57" s="603"/>
    </row>
    <row r="58" spans="2:4">
      <c r="B58" s="226" t="s">
        <v>325</v>
      </c>
      <c r="C58" s="6">
        <v>4600</v>
      </c>
      <c r="D58" s="240"/>
    </row>
    <row r="59" spans="2:4">
      <c r="B59" s="220" t="s">
        <v>326</v>
      </c>
      <c r="C59" s="7"/>
      <c r="D59" s="241"/>
    </row>
    <row r="60" spans="2:4">
      <c r="B60" s="237" t="s">
        <v>327</v>
      </c>
      <c r="C60" s="8"/>
      <c r="D60" s="242"/>
    </row>
    <row r="61" spans="2:4">
      <c r="B61" s="226" t="s">
        <v>328</v>
      </c>
      <c r="C61" s="9">
        <v>2.6829999999999998</v>
      </c>
      <c r="D61" s="603" t="s">
        <v>329</v>
      </c>
    </row>
    <row r="62" spans="2:4">
      <c r="B62" s="226" t="s">
        <v>330</v>
      </c>
      <c r="C62" s="9">
        <v>3.5150000000000001</v>
      </c>
      <c r="D62" s="603"/>
    </row>
    <row r="63" spans="2:4">
      <c r="B63" s="226" t="s">
        <v>331</v>
      </c>
      <c r="C63" s="10" t="s">
        <v>96</v>
      </c>
      <c r="D63" s="603"/>
    </row>
    <row r="64" spans="2:4">
      <c r="B64" s="226" t="s">
        <v>332</v>
      </c>
      <c r="C64" s="11" t="s">
        <v>96</v>
      </c>
      <c r="D64" s="603"/>
    </row>
    <row r="65" spans="2:4">
      <c r="B65" s="237" t="s">
        <v>333</v>
      </c>
      <c r="C65" s="8"/>
      <c r="D65" s="603"/>
    </row>
    <row r="66" spans="2:4">
      <c r="B66" s="226" t="s">
        <v>328</v>
      </c>
      <c r="C66" s="9">
        <v>3.4550000000000001</v>
      </c>
      <c r="D66" s="603"/>
    </row>
    <row r="67" spans="2:4">
      <c r="B67" s="226" t="s">
        <v>330</v>
      </c>
      <c r="C67" s="9">
        <v>33.762999999999998</v>
      </c>
      <c r="D67" s="603"/>
    </row>
    <row r="68" spans="2:4">
      <c r="B68" s="226" t="s">
        <v>331</v>
      </c>
      <c r="C68" s="9">
        <v>1.1000000000000001</v>
      </c>
      <c r="D68" s="603"/>
    </row>
    <row r="69" spans="2:4">
      <c r="B69" s="226" t="s">
        <v>332</v>
      </c>
      <c r="C69" s="11" t="s">
        <v>96</v>
      </c>
      <c r="D69" s="603"/>
    </row>
    <row r="70" spans="2:4">
      <c r="B70" s="220" t="s">
        <v>334</v>
      </c>
      <c r="C70" s="192"/>
      <c r="D70" s="605" t="s">
        <v>335</v>
      </c>
    </row>
    <row r="71" spans="2:4" ht="15" customHeight="1">
      <c r="B71" s="237" t="s">
        <v>327</v>
      </c>
      <c r="C71" s="193"/>
      <c r="D71" s="606"/>
    </row>
    <row r="72" spans="2:4">
      <c r="B72" s="226" t="s">
        <v>336</v>
      </c>
      <c r="C72" s="194">
        <v>8887</v>
      </c>
      <c r="D72" s="606"/>
    </row>
    <row r="73" spans="2:4">
      <c r="B73" s="237" t="s">
        <v>333</v>
      </c>
      <c r="C73" s="194"/>
      <c r="D73" s="606"/>
    </row>
    <row r="74" spans="2:4">
      <c r="B74" s="221" t="s">
        <v>336</v>
      </c>
      <c r="C74" s="195">
        <v>10180</v>
      </c>
      <c r="D74" s="607"/>
    </row>
    <row r="75" spans="2:4">
      <c r="B75" s="220" t="s">
        <v>337</v>
      </c>
      <c r="C75" s="194"/>
      <c r="D75" s="608" t="s">
        <v>338</v>
      </c>
    </row>
    <row r="76" spans="2:4" ht="15" customHeight="1">
      <c r="B76" s="226" t="s">
        <v>327</v>
      </c>
      <c r="C76" s="194">
        <v>0.42</v>
      </c>
      <c r="D76" s="609"/>
    </row>
    <row r="77" spans="2:4">
      <c r="B77" s="226" t="s">
        <v>333</v>
      </c>
      <c r="C77" s="194">
        <v>1.1499999999999999</v>
      </c>
      <c r="D77" s="610"/>
    </row>
    <row r="78" spans="2:4">
      <c r="B78" s="220" t="s">
        <v>339</v>
      </c>
      <c r="C78" s="12"/>
      <c r="D78" s="243"/>
    </row>
    <row r="79" spans="2:4">
      <c r="B79" s="226" t="s">
        <v>340</v>
      </c>
      <c r="C79" s="171">
        <v>1.023E-6</v>
      </c>
      <c r="D79" s="244"/>
    </row>
    <row r="80" spans="2:4">
      <c r="B80" s="221" t="s">
        <v>341</v>
      </c>
      <c r="C80" s="170">
        <v>0.90718500000000002</v>
      </c>
      <c r="D80" s="245"/>
    </row>
    <row r="81" spans="2:4">
      <c r="B81" s="220" t="s">
        <v>342</v>
      </c>
      <c r="C81" s="12"/>
      <c r="D81" s="246"/>
    </row>
    <row r="82" spans="2:4">
      <c r="B82" s="247" t="s">
        <v>343</v>
      </c>
      <c r="C82" s="264">
        <v>0.28000000000000003</v>
      </c>
      <c r="D82" s="248" t="s">
        <v>344</v>
      </c>
    </row>
    <row r="83" spans="2:4">
      <c r="B83" s="247" t="s">
        <v>345</v>
      </c>
      <c r="C83" s="264">
        <v>0.55000000000000004</v>
      </c>
      <c r="D83" s="248" t="s">
        <v>346</v>
      </c>
    </row>
    <row r="84" spans="2:4" ht="15" customHeight="1">
      <c r="B84" s="249" t="s">
        <v>347</v>
      </c>
      <c r="C84" s="26" t="s">
        <v>6</v>
      </c>
      <c r="D84" s="250" t="s">
        <v>348</v>
      </c>
    </row>
    <row r="85" spans="2:4">
      <c r="B85" s="251" t="s">
        <v>349</v>
      </c>
      <c r="C85" s="30"/>
      <c r="D85" s="612" t="s">
        <v>350</v>
      </c>
    </row>
    <row r="86" spans="2:4">
      <c r="B86" s="247" t="s">
        <v>351</v>
      </c>
      <c r="C86" s="30">
        <v>30</v>
      </c>
      <c r="D86" s="613"/>
    </row>
    <row r="87" spans="2:4">
      <c r="B87" s="247" t="s">
        <v>352</v>
      </c>
      <c r="C87" s="30">
        <v>50</v>
      </c>
      <c r="D87" s="613"/>
    </row>
    <row r="88" spans="2:4">
      <c r="B88" s="247" t="s">
        <v>353</v>
      </c>
      <c r="C88" s="30">
        <v>15</v>
      </c>
      <c r="D88" s="613"/>
    </row>
    <row r="89" spans="2:4">
      <c r="B89" s="247" t="s">
        <v>354</v>
      </c>
      <c r="C89" s="30">
        <v>25</v>
      </c>
      <c r="D89" s="613"/>
    </row>
    <row r="90" spans="2:4">
      <c r="B90" s="247" t="s">
        <v>355</v>
      </c>
      <c r="C90" s="30">
        <v>25</v>
      </c>
      <c r="D90" s="613"/>
    </row>
    <row r="91" spans="2:4">
      <c r="B91" s="247" t="s">
        <v>356</v>
      </c>
      <c r="C91" s="413">
        <v>0.01</v>
      </c>
      <c r="D91" s="614"/>
    </row>
    <row r="92" spans="2:4">
      <c r="B92" s="220" t="s">
        <v>357</v>
      </c>
      <c r="C92" s="29"/>
      <c r="D92" s="597" t="s">
        <v>305</v>
      </c>
    </row>
    <row r="93" spans="2:4">
      <c r="B93" s="252" t="s">
        <v>264</v>
      </c>
      <c r="C93" s="30"/>
      <c r="D93" s="598"/>
    </row>
    <row r="94" spans="2:4">
      <c r="B94" s="247" t="s">
        <v>358</v>
      </c>
      <c r="C94" s="31">
        <v>0.1</v>
      </c>
      <c r="D94" s="598"/>
    </row>
    <row r="95" spans="2:4">
      <c r="B95" s="247" t="s">
        <v>359</v>
      </c>
      <c r="C95" s="30">
        <v>0.18</v>
      </c>
      <c r="D95" s="598"/>
    </row>
    <row r="96" spans="2:4">
      <c r="B96" s="249" t="s">
        <v>360</v>
      </c>
      <c r="C96" s="32">
        <v>0.46</v>
      </c>
      <c r="D96" s="611"/>
    </row>
    <row r="97" spans="2:4" ht="15" customHeight="1">
      <c r="B97" s="220" t="s">
        <v>361</v>
      </c>
      <c r="C97" s="29"/>
      <c r="D97" s="597" t="s">
        <v>305</v>
      </c>
    </row>
    <row r="98" spans="2:4">
      <c r="B98" s="252" t="s">
        <v>264</v>
      </c>
      <c r="C98" s="30"/>
      <c r="D98" s="598"/>
    </row>
    <row r="99" spans="2:4">
      <c r="B99" s="247" t="s">
        <v>362</v>
      </c>
      <c r="C99" s="31">
        <v>1.42</v>
      </c>
      <c r="D99" s="598"/>
    </row>
    <row r="100" spans="2:4">
      <c r="B100" s="247" t="s">
        <v>363</v>
      </c>
      <c r="C100" s="30">
        <v>1.78</v>
      </c>
      <c r="D100" s="598"/>
    </row>
    <row r="101" spans="2:4">
      <c r="B101" s="253" t="s">
        <v>364</v>
      </c>
      <c r="C101" s="30">
        <v>1.69</v>
      </c>
      <c r="D101" s="598"/>
    </row>
    <row r="102" spans="2:4">
      <c r="B102" s="247" t="s">
        <v>365</v>
      </c>
      <c r="C102" s="30">
        <v>0.26</v>
      </c>
      <c r="D102" s="598"/>
    </row>
    <row r="103" spans="2:4">
      <c r="B103" s="254" t="s">
        <v>366</v>
      </c>
      <c r="C103" s="32">
        <v>1.69</v>
      </c>
      <c r="D103" s="611"/>
    </row>
    <row r="104" spans="2:4">
      <c r="B104" s="220" t="s">
        <v>367</v>
      </c>
      <c r="C104" s="29"/>
      <c r="D104" s="597" t="s">
        <v>305</v>
      </c>
    </row>
    <row r="105" spans="2:4">
      <c r="B105" s="252" t="s">
        <v>264</v>
      </c>
      <c r="C105" s="30"/>
      <c r="D105" s="598"/>
    </row>
    <row r="106" spans="2:4">
      <c r="B106" s="237" t="s">
        <v>368</v>
      </c>
      <c r="C106" s="30"/>
      <c r="D106" s="598"/>
    </row>
    <row r="107" spans="2:4">
      <c r="B107" s="247" t="s">
        <v>369</v>
      </c>
      <c r="C107" s="33">
        <v>1.6999999999999999E-3</v>
      </c>
      <c r="D107" s="598"/>
    </row>
    <row r="108" spans="2:4">
      <c r="B108" s="247" t="s">
        <v>370</v>
      </c>
      <c r="C108" s="30">
        <v>0.124</v>
      </c>
      <c r="D108" s="598"/>
    </row>
    <row r="109" spans="2:4">
      <c r="B109" s="237" t="s">
        <v>371</v>
      </c>
      <c r="C109" s="30"/>
      <c r="D109" s="598"/>
    </row>
    <row r="110" spans="2:4">
      <c r="B110" s="247" t="s">
        <v>372</v>
      </c>
      <c r="C110" s="33">
        <v>3.9300000000000002E-2</v>
      </c>
      <c r="D110" s="598"/>
    </row>
    <row r="111" spans="2:4" ht="15.75" thickBot="1">
      <c r="B111" s="255" t="s">
        <v>373</v>
      </c>
      <c r="C111" s="256">
        <v>0.31</v>
      </c>
      <c r="D111" s="599"/>
    </row>
  </sheetData>
  <mergeCells count="20">
    <mergeCell ref="D104:D111"/>
    <mergeCell ref="D33:D34"/>
    <mergeCell ref="D37:D38"/>
    <mergeCell ref="D39:D47"/>
    <mergeCell ref="D50:D57"/>
    <mergeCell ref="D61:D69"/>
    <mergeCell ref="D70:D74"/>
    <mergeCell ref="D75:D77"/>
    <mergeCell ref="D92:D96"/>
    <mergeCell ref="D97:D103"/>
    <mergeCell ref="D85:D91"/>
    <mergeCell ref="G36:K37"/>
    <mergeCell ref="G38:K38"/>
    <mergeCell ref="D5:D22"/>
    <mergeCell ref="B2:D2"/>
    <mergeCell ref="M2:S2"/>
    <mergeCell ref="D23:D25"/>
    <mergeCell ref="G2:K2"/>
    <mergeCell ref="D26:D28"/>
    <mergeCell ref="D3:D4"/>
  </mergeCells>
  <phoneticPr fontId="18" type="noConversion"/>
  <hyperlinks>
    <hyperlink ref="D70" r:id="rId1" location=":~:text=typical%20passenger%20vehicle%3F-,A%20typical%20passenger%20vehicle%20emits%20about%204.6%20metric%20tons%20of,8%2C887%20grams%20of%20CO2." display="https://www.epa.gov/greenvehicles/greenhouse-gas-emissions-typical-passenger-vehicle#:~:text=typical%20passenger%20vehicle%3F-,A%20typical%20passenger%20vehicle%20emits%20about%204.6%20metric%20tons%20of,8%2C887%20grams%20of%20CO2." xr:uid="{B462BF26-BCF4-438D-B71E-D36E9AA328EC}"/>
    <hyperlink ref="D70:D74" r:id="rId2" display="Environmental Protection Agency - &quot;Greenhouse Gas Emissions from a Typical Passenger Vehicle&quot;. March 2018" xr:uid="{0A7020F7-168C-4DDA-871B-DF5790E5AA1D}"/>
    <hyperlink ref="D75:D77" r:id="rId3" display="Argonne National Laboratory - Idling Reduction Savings Calculator" xr:uid="{F114C0A0-1866-43BE-9E45-DDE124D87449}"/>
    <hyperlink ref="D37:D38" r:id="rId4" display="Benefit-Cost Analysis Guidance for Discretionary Grant Programs, March 2022" xr:uid="{B75FAEFF-4E52-43B2-9B10-D87E2F22F49A}"/>
    <hyperlink ref="D39:D47" r:id="rId5" display="Benefit-Cost Analysis Guidance for Discretionary Grant Programs, March 2022" xr:uid="{6E7696E1-7D9A-437E-8067-730904EA76B4}"/>
    <hyperlink ref="D50:D57" r:id="rId6" display="Benefit-Cost Analysis Guidance for Discretionary Grant Programs, March 2022" xr:uid="{11FE7E7D-1EF3-49AE-90B3-FF3E1D79C1BB}"/>
    <hyperlink ref="D92:D96" r:id="rId7" display="Benefit-Cost Analysis Guidance for Discretionary Grant Programs, March 2022" xr:uid="{9D7CF0AC-20AF-4B57-8923-761AC028BD70}"/>
    <hyperlink ref="D97:D103" r:id="rId8" display="Benefit-Cost Analysis Guidance for Discretionary Grant Programs, March 2022" xr:uid="{8B70375F-B863-4733-876D-E5301F680C44}"/>
    <hyperlink ref="D104:D111" r:id="rId9" display="Benefit-Cost Analysis Guidance for Discretionary Grant Programs, March 2022" xr:uid="{C4C9D30C-5F9F-4612-9434-FE83C9D8D026}"/>
    <hyperlink ref="D36" r:id="rId10" xr:uid="{6D23E5A9-A1AE-4954-93F7-8BC2EBD43673}"/>
    <hyperlink ref="G36:K37" r:id="rId11" display="https://www.transportation.gov/sites/dot.gov/files/2022-03/Benefit Cost Analysis Guidance 2022 %28Revised%29.pdf" xr:uid="{C8D2722D-AD86-4E56-B7DA-EF1DBB66AF0D}"/>
    <hyperlink ref="G38:K38" r:id="rId12" display="*Benefit-Cost Analysis for Discretionary Grant Programs, January 2020" xr:uid="{8B43F1D2-7267-4440-BDC8-8E8BF7948969}"/>
    <hyperlink ref="D61:D69" r:id="rId13" display="Idling Vehicle Emissions for Passenger Cars, Light-Duty Trucks, and Heavy-Duty Trucks, EPA, October 2008" xr:uid="{3D65197B-DF34-4257-A81A-238B8A12DA07}"/>
  </hyperlinks>
  <pageMargins left="0.7" right="0.7" top="0.75" bottom="0.75" header="0.3" footer="0.3"/>
  <pageSetup orientation="landscape" r:id="rId14"/>
  <ignoredErrors>
    <ignoredError sqref="N9" formulaRange="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6DAF1-8179-46B4-8CF5-D32D3EEFBEA4}">
  <sheetPr>
    <tabColor rgb="FFCCEEFC"/>
  </sheetPr>
  <dimension ref="B1:AO109"/>
  <sheetViews>
    <sheetView zoomScale="70" zoomScaleNormal="70" workbookViewId="0">
      <selection activeCell="M6" activeCellId="1" sqref="C6:C29 M6:M29"/>
    </sheetView>
  </sheetViews>
  <sheetFormatPr defaultRowHeight="15"/>
  <cols>
    <col min="5" max="5" width="12.85546875" bestFit="1" customWidth="1"/>
    <col min="6" max="6" width="10.5703125" bestFit="1" customWidth="1"/>
    <col min="7" max="7" width="11" customWidth="1"/>
    <col min="8" max="11" width="11" bestFit="1" customWidth="1"/>
    <col min="19" max="19" width="10.5703125" bestFit="1" customWidth="1"/>
    <col min="25" max="25" width="12.85546875" bestFit="1" customWidth="1"/>
    <col min="26" max="26" width="10.5703125" bestFit="1" customWidth="1"/>
  </cols>
  <sheetData>
    <row r="1" spans="2:41" ht="15.75" thickBot="1"/>
    <row r="2" spans="2:41" ht="22.5" customHeight="1">
      <c r="B2" s="639" t="s">
        <v>374</v>
      </c>
      <c r="C2" s="640"/>
      <c r="D2" s="640"/>
      <c r="E2" s="640"/>
      <c r="F2" s="640"/>
      <c r="G2" s="640"/>
      <c r="H2" s="640"/>
      <c r="I2" s="640"/>
      <c r="J2" s="640"/>
      <c r="K2" s="640"/>
      <c r="L2" s="640"/>
      <c r="M2" s="640"/>
      <c r="N2" s="640"/>
      <c r="O2" s="640"/>
      <c r="P2" s="640"/>
      <c r="Q2" s="640"/>
      <c r="R2" s="640"/>
      <c r="S2" s="641"/>
      <c r="V2" s="639" t="s">
        <v>375</v>
      </c>
      <c r="W2" s="640"/>
      <c r="X2" s="640"/>
      <c r="Y2" s="640"/>
      <c r="Z2" s="640"/>
      <c r="AA2" s="640"/>
      <c r="AB2" s="640"/>
      <c r="AC2" s="640"/>
      <c r="AD2" s="640"/>
      <c r="AE2" s="640"/>
      <c r="AF2" s="640"/>
      <c r="AG2" s="640"/>
      <c r="AH2" s="640"/>
      <c r="AI2" s="640"/>
      <c r="AJ2" s="640"/>
      <c r="AK2" s="640"/>
      <c r="AL2" s="640"/>
      <c r="AM2" s="640"/>
      <c r="AN2" s="640"/>
      <c r="AO2" s="641"/>
    </row>
    <row r="3" spans="2:41">
      <c r="B3" s="112"/>
      <c r="C3" s="631" t="s">
        <v>376</v>
      </c>
      <c r="D3" s="631"/>
      <c r="E3" s="631"/>
      <c r="F3" s="631"/>
      <c r="G3" s="631"/>
      <c r="H3" s="631"/>
      <c r="I3" s="631"/>
      <c r="J3" s="631"/>
      <c r="L3" s="631" t="s">
        <v>377</v>
      </c>
      <c r="M3" s="631"/>
      <c r="N3" s="631"/>
      <c r="O3" s="631"/>
      <c r="P3" s="631"/>
      <c r="Q3" s="631"/>
      <c r="R3" s="631"/>
      <c r="S3" s="638"/>
      <c r="V3" s="112"/>
      <c r="W3" s="631" t="s">
        <v>376</v>
      </c>
      <c r="X3" s="631"/>
      <c r="Y3" s="631"/>
      <c r="Z3" s="631"/>
      <c r="AA3" s="631"/>
      <c r="AB3" s="631"/>
      <c r="AC3" s="631"/>
      <c r="AD3" s="631"/>
      <c r="AF3" s="631" t="s">
        <v>377</v>
      </c>
      <c r="AG3" s="631"/>
      <c r="AH3" s="631"/>
      <c r="AI3" s="631"/>
      <c r="AJ3" s="631"/>
      <c r="AK3" s="631"/>
      <c r="AL3" s="631"/>
      <c r="AM3" s="631"/>
      <c r="AO3" s="119"/>
    </row>
    <row r="4" spans="2:41" ht="15" customHeight="1">
      <c r="B4" s="112"/>
      <c r="C4" s="632" t="s">
        <v>378</v>
      </c>
      <c r="D4" s="631" t="s">
        <v>379</v>
      </c>
      <c r="E4" s="631"/>
      <c r="F4" s="631"/>
      <c r="G4" s="60"/>
      <c r="H4" s="631" t="s">
        <v>380</v>
      </c>
      <c r="I4" s="631"/>
      <c r="J4" s="631"/>
      <c r="L4" s="632" t="s">
        <v>378</v>
      </c>
      <c r="M4" s="631" t="s">
        <v>379</v>
      </c>
      <c r="N4" s="631"/>
      <c r="O4" s="631"/>
      <c r="P4" s="60"/>
      <c r="Q4" s="631" t="s">
        <v>380</v>
      </c>
      <c r="R4" s="631"/>
      <c r="S4" s="638"/>
      <c r="V4" s="112"/>
      <c r="W4" s="632" t="s">
        <v>378</v>
      </c>
      <c r="X4" s="631" t="s">
        <v>379</v>
      </c>
      <c r="Y4" s="631"/>
      <c r="Z4" s="631"/>
      <c r="AA4" s="60"/>
      <c r="AB4" s="631" t="s">
        <v>380</v>
      </c>
      <c r="AC4" s="631"/>
      <c r="AD4" s="631"/>
      <c r="AF4" s="632" t="s">
        <v>378</v>
      </c>
      <c r="AG4" s="631" t="s">
        <v>379</v>
      </c>
      <c r="AH4" s="631"/>
      <c r="AI4" s="631"/>
      <c r="AJ4" s="60"/>
      <c r="AK4" s="631" t="s">
        <v>380</v>
      </c>
      <c r="AL4" s="631"/>
      <c r="AM4" s="631"/>
      <c r="AO4" s="119"/>
    </row>
    <row r="5" spans="2:41">
      <c r="B5" s="112"/>
      <c r="C5" s="633"/>
      <c r="D5" s="60" t="s">
        <v>381</v>
      </c>
      <c r="E5" s="60" t="s">
        <v>382</v>
      </c>
      <c r="F5" s="60" t="s">
        <v>383</v>
      </c>
      <c r="G5" s="60"/>
      <c r="H5" s="60" t="s">
        <v>381</v>
      </c>
      <c r="I5" s="60" t="s">
        <v>382</v>
      </c>
      <c r="J5" s="60" t="s">
        <v>383</v>
      </c>
      <c r="L5" s="633"/>
      <c r="M5" s="60" t="s">
        <v>381</v>
      </c>
      <c r="N5" s="60" t="s">
        <v>382</v>
      </c>
      <c r="O5" s="60" t="s">
        <v>383</v>
      </c>
      <c r="P5" s="60"/>
      <c r="Q5" s="60" t="s">
        <v>381</v>
      </c>
      <c r="R5" s="60" t="s">
        <v>382</v>
      </c>
      <c r="S5" s="113" t="s">
        <v>383</v>
      </c>
      <c r="V5" s="112"/>
      <c r="W5" s="633"/>
      <c r="X5" s="60" t="s">
        <v>381</v>
      </c>
      <c r="Y5" s="60" t="s">
        <v>382</v>
      </c>
      <c r="Z5" s="60" t="s">
        <v>383</v>
      </c>
      <c r="AA5" s="60"/>
      <c r="AB5" s="60" t="s">
        <v>381</v>
      </c>
      <c r="AC5" s="60" t="s">
        <v>382</v>
      </c>
      <c r="AD5" s="60" t="s">
        <v>383</v>
      </c>
      <c r="AF5" s="633"/>
      <c r="AG5" s="60" t="s">
        <v>381</v>
      </c>
      <c r="AH5" s="60" t="s">
        <v>382</v>
      </c>
      <c r="AI5" s="60" t="s">
        <v>383</v>
      </c>
      <c r="AJ5" s="60"/>
      <c r="AK5" s="60" t="s">
        <v>381</v>
      </c>
      <c r="AL5" s="60" t="s">
        <v>382</v>
      </c>
      <c r="AM5" s="60" t="s">
        <v>383</v>
      </c>
      <c r="AO5" s="119"/>
    </row>
    <row r="6" spans="2:41">
      <c r="B6" s="114">
        <v>4.1666666666666664E-2</v>
      </c>
      <c r="C6" s="61">
        <v>296</v>
      </c>
      <c r="D6" s="59">
        <v>60.1</v>
      </c>
      <c r="E6" s="62">
        <f>(5.75/D6)-(5.75/65)</f>
        <v>7.2123384103417315E-3</v>
      </c>
      <c r="F6" s="62">
        <f t="shared" ref="F6:F29" si="0">E6*C6</f>
        <v>2.1348521694611526</v>
      </c>
      <c r="G6" s="59"/>
      <c r="H6" s="59">
        <v>61.2</v>
      </c>
      <c r="I6" s="62">
        <f>(5.75/H6)-(5.75/65)</f>
        <v>5.4927099044746047E-3</v>
      </c>
      <c r="J6" s="62">
        <f>I6*C6</f>
        <v>1.6258421317244829</v>
      </c>
      <c r="L6" s="61">
        <v>331</v>
      </c>
      <c r="M6" s="63">
        <v>59.7</v>
      </c>
      <c r="N6" s="62">
        <f t="shared" ref="N6:N29" si="1">(5.54/M6)-(5.54/65)</f>
        <v>7.5665507022290857E-3</v>
      </c>
      <c r="O6" s="62">
        <f t="shared" ref="O6:O29" si="2">N6*L6</f>
        <v>2.5045282824378274</v>
      </c>
      <c r="P6" s="59"/>
      <c r="Q6" s="63">
        <v>60.7</v>
      </c>
      <c r="R6" s="62">
        <f t="shared" ref="R6:R29" si="3">(5.54/Q6)-(5.54/65)</f>
        <v>6.0377645418831505E-3</v>
      </c>
      <c r="S6" s="115">
        <f>R6*L6</f>
        <v>1.9985000633633228</v>
      </c>
      <c r="V6" s="114">
        <v>4.1666666666666664E-2</v>
      </c>
      <c r="W6" s="66">
        <v>374</v>
      </c>
      <c r="X6" s="59">
        <v>60</v>
      </c>
      <c r="Y6" s="62">
        <f>(5.75/X6)-(5.75/65)</f>
        <v>7.3717948717948734E-3</v>
      </c>
      <c r="Z6" s="62">
        <f>Y6*W6</f>
        <v>2.7570512820512825</v>
      </c>
      <c r="AA6" s="59"/>
      <c r="AB6" s="63">
        <v>61.2</v>
      </c>
      <c r="AC6" s="62">
        <f>(5.75/AB6)-(5.75/65)</f>
        <v>5.4927099044746047E-3</v>
      </c>
      <c r="AD6" s="62">
        <f>AC6*W6</f>
        <v>2.0542735042735023</v>
      </c>
      <c r="AF6" s="66">
        <v>416</v>
      </c>
      <c r="AG6" s="63">
        <v>59.7</v>
      </c>
      <c r="AH6" s="62">
        <f>(5.54/AG6)-(5.54/65)</f>
        <v>7.5665507022290857E-3</v>
      </c>
      <c r="AI6" s="62">
        <f t="shared" ref="AI6:AI29" si="4">AH6*AF6</f>
        <v>3.1476850921272996</v>
      </c>
      <c r="AJ6" s="59"/>
      <c r="AK6" s="63">
        <v>60.7</v>
      </c>
      <c r="AL6" s="62">
        <f>(5.54/AK6)-(5.54/65)</f>
        <v>6.0377645418831505E-3</v>
      </c>
      <c r="AM6" s="62">
        <f>AL6*AF6</f>
        <v>2.5117100494233906</v>
      </c>
      <c r="AO6" s="119">
        <f>Y6*60</f>
        <v>0.4423076923076924</v>
      </c>
    </row>
    <row r="7" spans="2:41">
      <c r="B7" s="114">
        <v>8.3333333333333329E-2</v>
      </c>
      <c r="C7" s="61">
        <v>292</v>
      </c>
      <c r="D7" s="59">
        <v>60.1</v>
      </c>
      <c r="E7" s="62">
        <f t="shared" ref="E7:E29" si="5">(5.75/D7)-(5.75/65)</f>
        <v>7.2123384103417315E-3</v>
      </c>
      <c r="F7" s="62">
        <f t="shared" si="0"/>
        <v>2.1060028158197857</v>
      </c>
      <c r="G7" s="59"/>
      <c r="H7" s="59">
        <v>61.2</v>
      </c>
      <c r="I7" s="62">
        <f t="shared" ref="I7:I29" si="6">(5.75/H7)-(5.75/65)</f>
        <v>5.4927099044746047E-3</v>
      </c>
      <c r="J7" s="62">
        <f t="shared" ref="J7:J29" si="7">I7*C7</f>
        <v>1.6038712921065845</v>
      </c>
      <c r="L7" s="61">
        <v>288</v>
      </c>
      <c r="M7" s="63">
        <v>59.7</v>
      </c>
      <c r="N7" s="62">
        <f t="shared" si="1"/>
        <v>7.5665507022290857E-3</v>
      </c>
      <c r="O7" s="62">
        <f t="shared" si="2"/>
        <v>2.1791666022419767</v>
      </c>
      <c r="P7" s="59"/>
      <c r="Q7" s="63">
        <v>60.6</v>
      </c>
      <c r="R7" s="62">
        <f t="shared" si="3"/>
        <v>6.1883726834221775E-3</v>
      </c>
      <c r="S7" s="115">
        <f t="shared" ref="S7:S29" si="8">R7*L7</f>
        <v>1.7822513328255871</v>
      </c>
      <c r="V7" s="114">
        <v>8.3333333333333329E-2</v>
      </c>
      <c r="W7" s="66">
        <v>367</v>
      </c>
      <c r="X7" s="59">
        <v>60</v>
      </c>
      <c r="Y7" s="62">
        <f t="shared" ref="Y7:Y29" si="9">(5.75/X7)-(5.75/65)</f>
        <v>7.3717948717948734E-3</v>
      </c>
      <c r="Z7" s="62">
        <f t="shared" ref="Z7:Z29" si="10">Y7*W7</f>
        <v>2.7054487179487183</v>
      </c>
      <c r="AA7" s="59"/>
      <c r="AB7" s="63">
        <v>61.2</v>
      </c>
      <c r="AC7" s="62">
        <f t="shared" ref="AC7:AC29" si="11">(5.75/AB7)-(5.75/65)</f>
        <v>5.4927099044746047E-3</v>
      </c>
      <c r="AD7" s="62">
        <f t="shared" ref="AD7:AD29" si="12">AC7*W7</f>
        <v>2.0158245349421797</v>
      </c>
      <c r="AF7" s="66">
        <v>361</v>
      </c>
      <c r="AG7" s="63">
        <v>59.7</v>
      </c>
      <c r="AH7" s="62">
        <f t="shared" ref="AH7:AH29" si="13">(5.54/AG7)-(5.54/65)</f>
        <v>7.5665507022290857E-3</v>
      </c>
      <c r="AI7" s="62">
        <f t="shared" si="4"/>
        <v>2.7315248035046999</v>
      </c>
      <c r="AJ7" s="59"/>
      <c r="AK7" s="63">
        <v>60.6</v>
      </c>
      <c r="AL7" s="62">
        <f t="shared" ref="AL7:AL29" si="14">(5.54/AK7)-(5.54/65)</f>
        <v>6.1883726834221775E-3</v>
      </c>
      <c r="AM7" s="62">
        <f t="shared" ref="AM7:AM29" si="15">AL7*AF7</f>
        <v>2.2340025387154059</v>
      </c>
      <c r="AO7" s="119">
        <f t="shared" ref="AO7:AO29" si="16">Y7*60</f>
        <v>0.4423076923076924</v>
      </c>
    </row>
    <row r="8" spans="2:41">
      <c r="B8" s="114">
        <v>0.125</v>
      </c>
      <c r="C8" s="61">
        <v>316</v>
      </c>
      <c r="D8" s="59">
        <v>60.1</v>
      </c>
      <c r="E8" s="62">
        <f t="shared" si="5"/>
        <v>7.2123384103417315E-3</v>
      </c>
      <c r="F8" s="62">
        <f t="shared" si="0"/>
        <v>2.2790989376679871</v>
      </c>
      <c r="G8" s="59"/>
      <c r="H8" s="59">
        <v>61.2</v>
      </c>
      <c r="I8" s="62">
        <f t="shared" si="6"/>
        <v>5.4927099044746047E-3</v>
      </c>
      <c r="J8" s="62">
        <f t="shared" si="7"/>
        <v>1.7356963298139751</v>
      </c>
      <c r="L8" s="61">
        <v>307</v>
      </c>
      <c r="M8" s="63">
        <v>59.7</v>
      </c>
      <c r="N8" s="62">
        <f t="shared" si="1"/>
        <v>7.5665507022290857E-3</v>
      </c>
      <c r="O8" s="62">
        <f t="shared" si="2"/>
        <v>2.3229310655843292</v>
      </c>
      <c r="P8" s="59"/>
      <c r="Q8" s="63">
        <v>60.6</v>
      </c>
      <c r="R8" s="62">
        <f t="shared" si="3"/>
        <v>6.1883726834221775E-3</v>
      </c>
      <c r="S8" s="115">
        <f t="shared" si="8"/>
        <v>1.8998304138106086</v>
      </c>
      <c r="V8" s="114">
        <v>0.125</v>
      </c>
      <c r="W8" s="66">
        <v>398</v>
      </c>
      <c r="X8" s="59">
        <v>60.1</v>
      </c>
      <c r="Y8" s="62">
        <f t="shared" si="9"/>
        <v>7.2123384103417315E-3</v>
      </c>
      <c r="Z8" s="62">
        <f t="shared" si="10"/>
        <v>2.8705106873160093</v>
      </c>
      <c r="AA8" s="59"/>
      <c r="AB8" s="63">
        <v>61.2</v>
      </c>
      <c r="AC8" s="62">
        <f t="shared" si="11"/>
        <v>5.4927099044746047E-3</v>
      </c>
      <c r="AD8" s="62">
        <f t="shared" si="12"/>
        <v>2.1860985419808925</v>
      </c>
      <c r="AF8" s="66">
        <v>385</v>
      </c>
      <c r="AG8" s="63">
        <v>59.7</v>
      </c>
      <c r="AH8" s="62">
        <f t="shared" si="13"/>
        <v>7.5665507022290857E-3</v>
      </c>
      <c r="AI8" s="62">
        <f t="shared" si="4"/>
        <v>2.9131220203581978</v>
      </c>
      <c r="AJ8" s="59"/>
      <c r="AK8" s="63">
        <v>60.6</v>
      </c>
      <c r="AL8" s="62">
        <f t="shared" si="14"/>
        <v>6.1883726834221775E-3</v>
      </c>
      <c r="AM8" s="62">
        <f t="shared" si="15"/>
        <v>2.3825234831175384</v>
      </c>
      <c r="AO8" s="119">
        <f t="shared" si="16"/>
        <v>0.43274030462050389</v>
      </c>
    </row>
    <row r="9" spans="2:41">
      <c r="B9" s="114">
        <v>0.16666666666666699</v>
      </c>
      <c r="C9" s="61">
        <v>334</v>
      </c>
      <c r="D9" s="59">
        <v>60.1</v>
      </c>
      <c r="E9" s="62">
        <f t="shared" si="5"/>
        <v>7.2123384103417315E-3</v>
      </c>
      <c r="F9" s="62">
        <f t="shared" si="0"/>
        <v>2.4089210290541385</v>
      </c>
      <c r="G9" s="59"/>
      <c r="H9" s="59">
        <v>61.2</v>
      </c>
      <c r="I9" s="62">
        <f t="shared" si="6"/>
        <v>5.4927099044746047E-3</v>
      </c>
      <c r="J9" s="62">
        <f t="shared" si="7"/>
        <v>1.834565108094518</v>
      </c>
      <c r="L9" s="61">
        <v>362</v>
      </c>
      <c r="M9" s="63">
        <v>59.7</v>
      </c>
      <c r="N9" s="62">
        <f t="shared" si="1"/>
        <v>7.5665507022290857E-3</v>
      </c>
      <c r="O9" s="62">
        <f t="shared" si="2"/>
        <v>2.7390913542069288</v>
      </c>
      <c r="P9" s="59"/>
      <c r="Q9" s="63">
        <v>60.7</v>
      </c>
      <c r="R9" s="62">
        <f t="shared" si="3"/>
        <v>6.0377645418831505E-3</v>
      </c>
      <c r="S9" s="115">
        <f t="shared" si="8"/>
        <v>2.1856707641617006</v>
      </c>
      <c r="V9" s="114">
        <v>0.16666666666666699</v>
      </c>
      <c r="W9" s="66">
        <v>419</v>
      </c>
      <c r="X9" s="59">
        <v>60</v>
      </c>
      <c r="Y9" s="62">
        <f t="shared" si="9"/>
        <v>7.3717948717948734E-3</v>
      </c>
      <c r="Z9" s="62">
        <f t="shared" si="10"/>
        <v>3.0887820512820521</v>
      </c>
      <c r="AA9" s="59"/>
      <c r="AB9" s="63">
        <v>61.2</v>
      </c>
      <c r="AC9" s="62">
        <f t="shared" si="11"/>
        <v>5.4927099044746047E-3</v>
      </c>
      <c r="AD9" s="62">
        <f t="shared" si="12"/>
        <v>2.3014454499748593</v>
      </c>
      <c r="AF9" s="66">
        <v>455</v>
      </c>
      <c r="AG9" s="63">
        <v>59.7</v>
      </c>
      <c r="AH9" s="62">
        <f t="shared" si="13"/>
        <v>7.5665507022290857E-3</v>
      </c>
      <c r="AI9" s="62">
        <f t="shared" si="4"/>
        <v>3.4427805695142339</v>
      </c>
      <c r="AJ9" s="59"/>
      <c r="AK9" s="63">
        <v>60.7</v>
      </c>
      <c r="AL9" s="62">
        <f t="shared" si="14"/>
        <v>6.0377645418831505E-3</v>
      </c>
      <c r="AM9" s="62">
        <f t="shared" si="15"/>
        <v>2.7471828665568334</v>
      </c>
      <c r="AO9" s="119">
        <f t="shared" si="16"/>
        <v>0.4423076923076924</v>
      </c>
    </row>
    <row r="10" spans="2:41">
      <c r="B10" s="114">
        <v>0.20833333333333401</v>
      </c>
      <c r="C10" s="61">
        <v>562</v>
      </c>
      <c r="D10" s="59">
        <v>60</v>
      </c>
      <c r="E10" s="62">
        <f t="shared" si="5"/>
        <v>7.3717948717948734E-3</v>
      </c>
      <c r="F10" s="62">
        <f t="shared" si="0"/>
        <v>4.1429487179487188</v>
      </c>
      <c r="G10" s="59"/>
      <c r="H10" s="59">
        <v>61.2</v>
      </c>
      <c r="I10" s="62">
        <f t="shared" si="6"/>
        <v>5.4927099044746047E-3</v>
      </c>
      <c r="J10" s="62">
        <f t="shared" si="7"/>
        <v>3.086902966314728</v>
      </c>
      <c r="L10" s="61">
        <v>481</v>
      </c>
      <c r="M10" s="63">
        <v>59.6</v>
      </c>
      <c r="N10" s="62">
        <f t="shared" si="1"/>
        <v>7.7222509034589465E-3</v>
      </c>
      <c r="O10" s="62">
        <f t="shared" si="2"/>
        <v>3.7144026845637534</v>
      </c>
      <c r="P10" s="59"/>
      <c r="Q10" s="63">
        <v>60.6</v>
      </c>
      <c r="R10" s="62">
        <f t="shared" si="3"/>
        <v>6.1883726834221775E-3</v>
      </c>
      <c r="S10" s="115">
        <f t="shared" si="8"/>
        <v>2.9766072607260674</v>
      </c>
      <c r="V10" s="114">
        <v>0.20833333333333401</v>
      </c>
      <c r="W10" s="66">
        <v>706</v>
      </c>
      <c r="X10" s="59">
        <v>60</v>
      </c>
      <c r="Y10" s="62">
        <f t="shared" si="9"/>
        <v>7.3717948717948734E-3</v>
      </c>
      <c r="Z10" s="62">
        <f t="shared" si="10"/>
        <v>5.204487179487181</v>
      </c>
      <c r="AA10" s="59"/>
      <c r="AB10" s="63">
        <v>61.2</v>
      </c>
      <c r="AC10" s="62">
        <f t="shared" si="11"/>
        <v>5.4927099044746047E-3</v>
      </c>
      <c r="AD10" s="62">
        <f t="shared" si="12"/>
        <v>3.8778531925590709</v>
      </c>
      <c r="AF10" s="66">
        <v>603</v>
      </c>
      <c r="AG10" s="63">
        <v>59.6</v>
      </c>
      <c r="AH10" s="62">
        <f t="shared" si="13"/>
        <v>7.7222509034589465E-3</v>
      </c>
      <c r="AI10" s="62">
        <f t="shared" si="4"/>
        <v>4.6565172947857452</v>
      </c>
      <c r="AJ10" s="59"/>
      <c r="AK10" s="63">
        <v>60.6</v>
      </c>
      <c r="AL10" s="62">
        <f t="shared" si="14"/>
        <v>6.1883726834221775E-3</v>
      </c>
      <c r="AM10" s="62">
        <f t="shared" si="15"/>
        <v>3.7315887281035729</v>
      </c>
      <c r="AO10" s="119">
        <f t="shared" si="16"/>
        <v>0.4423076923076924</v>
      </c>
    </row>
    <row r="11" spans="2:41">
      <c r="B11" s="114">
        <v>0.25</v>
      </c>
      <c r="C11" s="61">
        <v>988</v>
      </c>
      <c r="D11" s="59">
        <v>59.9</v>
      </c>
      <c r="E11" s="62">
        <f t="shared" si="5"/>
        <v>7.5317837421343264E-3</v>
      </c>
      <c r="F11" s="62">
        <f t="shared" si="0"/>
        <v>7.4414023372287144</v>
      </c>
      <c r="G11" s="59"/>
      <c r="H11" s="59">
        <v>61.1</v>
      </c>
      <c r="I11" s="62">
        <f t="shared" si="6"/>
        <v>5.6464811783960706E-3</v>
      </c>
      <c r="J11" s="62">
        <f t="shared" si="7"/>
        <v>5.5787234042553173</v>
      </c>
      <c r="L11" s="61">
        <v>950</v>
      </c>
      <c r="M11" s="63">
        <v>59.4</v>
      </c>
      <c r="N11" s="62">
        <f t="shared" si="1"/>
        <v>8.0352240352240395E-3</v>
      </c>
      <c r="O11" s="62">
        <f t="shared" si="2"/>
        <v>7.6334628334628372</v>
      </c>
      <c r="P11" s="59"/>
      <c r="Q11" s="63">
        <v>60.5</v>
      </c>
      <c r="R11" s="62">
        <f t="shared" si="3"/>
        <v>6.3394787031150618E-3</v>
      </c>
      <c r="S11" s="115">
        <f t="shared" si="8"/>
        <v>6.0225047679593091</v>
      </c>
      <c r="V11" s="114">
        <v>0.25</v>
      </c>
      <c r="W11" s="66">
        <v>1241</v>
      </c>
      <c r="X11" s="59">
        <v>59.8</v>
      </c>
      <c r="Y11" s="62">
        <f t="shared" si="9"/>
        <v>7.6923076923076927E-3</v>
      </c>
      <c r="Z11" s="62">
        <f t="shared" si="10"/>
        <v>9.546153846153846</v>
      </c>
      <c r="AA11" s="59"/>
      <c r="AB11" s="63">
        <v>61.1</v>
      </c>
      <c r="AC11" s="62">
        <f t="shared" si="11"/>
        <v>5.6464811783960706E-3</v>
      </c>
      <c r="AD11" s="62">
        <f t="shared" si="12"/>
        <v>7.0072831423895234</v>
      </c>
      <c r="AF11" s="66">
        <v>1193</v>
      </c>
      <c r="AG11" s="63">
        <v>59.4</v>
      </c>
      <c r="AH11" s="62">
        <f t="shared" si="13"/>
        <v>8.0352240352240395E-3</v>
      </c>
      <c r="AI11" s="62">
        <f t="shared" si="4"/>
        <v>9.5860222740222785</v>
      </c>
      <c r="AJ11" s="59"/>
      <c r="AK11" s="63">
        <v>60.4</v>
      </c>
      <c r="AL11" s="62">
        <f t="shared" si="14"/>
        <v>6.4910850738665316E-3</v>
      </c>
      <c r="AM11" s="62">
        <f t="shared" si="15"/>
        <v>7.7438644931227723</v>
      </c>
      <c r="AO11" s="119">
        <f t="shared" si="16"/>
        <v>0.46153846153846156</v>
      </c>
    </row>
    <row r="12" spans="2:41">
      <c r="B12" s="114">
        <v>0.29166666666666702</v>
      </c>
      <c r="C12" s="61">
        <v>1735</v>
      </c>
      <c r="D12" s="59">
        <v>59.7</v>
      </c>
      <c r="E12" s="62">
        <f t="shared" si="5"/>
        <v>7.8533694111583424E-3</v>
      </c>
      <c r="F12" s="62">
        <f t="shared" si="0"/>
        <v>13.625595928359724</v>
      </c>
      <c r="G12" s="59"/>
      <c r="H12" s="59">
        <v>60.9</v>
      </c>
      <c r="I12" s="62">
        <f t="shared" si="6"/>
        <v>5.9555387141593946E-3</v>
      </c>
      <c r="J12" s="62">
        <f t="shared" si="7"/>
        <v>10.332859669066549</v>
      </c>
      <c r="L12" s="61">
        <v>1410</v>
      </c>
      <c r="M12" s="63">
        <v>59.2</v>
      </c>
      <c r="N12" s="62">
        <f t="shared" si="1"/>
        <v>8.3503118503118479E-3</v>
      </c>
      <c r="O12" s="62">
        <f t="shared" si="2"/>
        <v>11.773939708939706</v>
      </c>
      <c r="P12" s="59"/>
      <c r="Q12" s="63">
        <v>60.3</v>
      </c>
      <c r="R12" s="62">
        <f t="shared" si="3"/>
        <v>6.643194284985332E-3</v>
      </c>
      <c r="S12" s="115">
        <f t="shared" si="8"/>
        <v>9.3669039418293174</v>
      </c>
      <c r="V12" s="114">
        <v>0.29166666666666702</v>
      </c>
      <c r="W12" s="66">
        <v>2181</v>
      </c>
      <c r="X12" s="59">
        <v>58.6</v>
      </c>
      <c r="Y12" s="62">
        <f t="shared" si="9"/>
        <v>9.6613284326594884E-3</v>
      </c>
      <c r="Z12" s="62">
        <f t="shared" si="10"/>
        <v>21.071357311630344</v>
      </c>
      <c r="AA12" s="59"/>
      <c r="AB12" s="63">
        <v>60.9</v>
      </c>
      <c r="AC12" s="62">
        <f t="shared" si="11"/>
        <v>5.9555387141593946E-3</v>
      </c>
      <c r="AD12" s="62">
        <f t="shared" si="12"/>
        <v>12.989029935581639</v>
      </c>
      <c r="AF12" s="66">
        <v>1772</v>
      </c>
      <c r="AG12" s="63">
        <v>59.1</v>
      </c>
      <c r="AH12" s="62">
        <f t="shared" si="13"/>
        <v>8.5086554731224756E-3</v>
      </c>
      <c r="AI12" s="62">
        <f t="shared" si="4"/>
        <v>15.077337498373026</v>
      </c>
      <c r="AJ12" s="59"/>
      <c r="AK12" s="63">
        <v>60.2</v>
      </c>
      <c r="AL12" s="62">
        <f t="shared" si="14"/>
        <v>6.7958088423204638E-3</v>
      </c>
      <c r="AM12" s="62">
        <f t="shared" si="15"/>
        <v>12.042173268591862</v>
      </c>
      <c r="AO12" s="119">
        <f t="shared" si="16"/>
        <v>0.5796797059595693</v>
      </c>
    </row>
    <row r="13" spans="2:41" ht="15" customHeight="1">
      <c r="B13" s="114">
        <v>0.33333333333333398</v>
      </c>
      <c r="C13" s="61">
        <v>2429</v>
      </c>
      <c r="D13" s="59">
        <v>57</v>
      </c>
      <c r="E13" s="62">
        <f t="shared" si="5"/>
        <v>1.2415654520917668E-2</v>
      </c>
      <c r="F13" s="62">
        <f t="shared" si="0"/>
        <v>30.157624831309015</v>
      </c>
      <c r="G13" s="59"/>
      <c r="H13" s="59">
        <v>60.7</v>
      </c>
      <c r="I13" s="62">
        <f t="shared" si="6"/>
        <v>6.2666328728931547E-3</v>
      </c>
      <c r="J13" s="62">
        <f t="shared" si="7"/>
        <v>15.221651248257473</v>
      </c>
      <c r="L13" s="61">
        <v>1708</v>
      </c>
      <c r="M13" s="63">
        <v>59</v>
      </c>
      <c r="N13" s="62">
        <f t="shared" si="1"/>
        <v>8.6675358539765324E-3</v>
      </c>
      <c r="O13" s="62">
        <f t="shared" si="2"/>
        <v>14.804151238591917</v>
      </c>
      <c r="P13" s="59"/>
      <c r="Q13" s="63">
        <v>60.1</v>
      </c>
      <c r="R13" s="62">
        <f t="shared" si="3"/>
        <v>6.9489312683988225E-3</v>
      </c>
      <c r="S13" s="115">
        <f t="shared" si="8"/>
        <v>11.868774606425189</v>
      </c>
      <c r="V13" s="114">
        <v>0.33333333333333398</v>
      </c>
      <c r="W13" s="66">
        <v>3052</v>
      </c>
      <c r="X13" s="59">
        <v>49.9</v>
      </c>
      <c r="Y13" s="62">
        <f t="shared" si="9"/>
        <v>2.6768922460305225E-2</v>
      </c>
      <c r="Z13" s="62">
        <f t="shared" si="10"/>
        <v>81.698751348851545</v>
      </c>
      <c r="AA13" s="59"/>
      <c r="AB13" s="63">
        <v>59.8</v>
      </c>
      <c r="AC13" s="62">
        <f t="shared" si="11"/>
        <v>7.6923076923076927E-3</v>
      </c>
      <c r="AD13" s="62">
        <f t="shared" si="12"/>
        <v>23.476923076923079</v>
      </c>
      <c r="AF13" s="66">
        <v>2149</v>
      </c>
      <c r="AG13" s="63">
        <v>58.3</v>
      </c>
      <c r="AH13" s="62">
        <f t="shared" si="13"/>
        <v>9.7949597572239144E-3</v>
      </c>
      <c r="AI13" s="62">
        <f t="shared" si="4"/>
        <v>21.049368518274193</v>
      </c>
      <c r="AJ13" s="59"/>
      <c r="AK13" s="63">
        <v>60</v>
      </c>
      <c r="AL13" s="62">
        <f t="shared" si="14"/>
        <v>7.1025641025641018E-3</v>
      </c>
      <c r="AM13" s="62">
        <f t="shared" si="15"/>
        <v>15.263410256410255</v>
      </c>
      <c r="AO13" s="119">
        <f t="shared" si="16"/>
        <v>1.6061353476183136</v>
      </c>
    </row>
    <row r="14" spans="2:41">
      <c r="B14" s="114">
        <v>0.375</v>
      </c>
      <c r="C14" s="61">
        <v>1778</v>
      </c>
      <c r="D14" s="59">
        <v>59.6</v>
      </c>
      <c r="E14" s="62">
        <f t="shared" si="5"/>
        <v>8.014971605575627E-3</v>
      </c>
      <c r="F14" s="62">
        <f t="shared" si="0"/>
        <v>14.250619514713465</v>
      </c>
      <c r="G14" s="59"/>
      <c r="H14" s="59">
        <v>60.9</v>
      </c>
      <c r="I14" s="62">
        <f t="shared" si="6"/>
        <v>5.9555387141593946E-3</v>
      </c>
      <c r="J14" s="62">
        <f t="shared" si="7"/>
        <v>10.588947833775403</v>
      </c>
      <c r="L14" s="61">
        <v>1723</v>
      </c>
      <c r="M14" s="63">
        <v>59.1</v>
      </c>
      <c r="N14" s="62">
        <f t="shared" si="1"/>
        <v>8.5086554731224756E-3</v>
      </c>
      <c r="O14" s="62">
        <f t="shared" si="2"/>
        <v>14.660413380190025</v>
      </c>
      <c r="P14" s="59"/>
      <c r="Q14" s="63">
        <v>60.2</v>
      </c>
      <c r="R14" s="62">
        <f t="shared" si="3"/>
        <v>6.7958088423204638E-3</v>
      </c>
      <c r="S14" s="115">
        <f t="shared" si="8"/>
        <v>11.709178635318159</v>
      </c>
      <c r="V14" s="114">
        <v>0.375</v>
      </c>
      <c r="W14" s="66">
        <v>2235</v>
      </c>
      <c r="X14" s="59">
        <v>56.6</v>
      </c>
      <c r="Y14" s="62">
        <f t="shared" si="9"/>
        <v>1.3128567545528672E-2</v>
      </c>
      <c r="Z14" s="62">
        <f t="shared" si="10"/>
        <v>29.342348464256581</v>
      </c>
      <c r="AA14" s="59"/>
      <c r="AB14" s="63">
        <v>60.9</v>
      </c>
      <c r="AC14" s="62">
        <f t="shared" si="11"/>
        <v>5.9555387141593946E-3</v>
      </c>
      <c r="AD14" s="62">
        <f t="shared" si="12"/>
        <v>13.310629026146247</v>
      </c>
      <c r="AF14" s="66">
        <v>2167</v>
      </c>
      <c r="AG14" s="63">
        <v>58.4</v>
      </c>
      <c r="AH14" s="62">
        <f t="shared" si="13"/>
        <v>9.6322444678609009E-3</v>
      </c>
      <c r="AI14" s="62">
        <f t="shared" si="4"/>
        <v>20.873073761854574</v>
      </c>
      <c r="AJ14" s="59"/>
      <c r="AK14" s="63">
        <v>60.1</v>
      </c>
      <c r="AL14" s="62">
        <f t="shared" si="14"/>
        <v>6.9489312683988225E-3</v>
      </c>
      <c r="AM14" s="62">
        <f t="shared" si="15"/>
        <v>15.058334058620249</v>
      </c>
      <c r="AO14" s="119">
        <f t="shared" si="16"/>
        <v>0.78771405273172035</v>
      </c>
    </row>
    <row r="15" spans="2:41">
      <c r="B15" s="114">
        <v>0.41666666666666702</v>
      </c>
      <c r="C15" s="61">
        <v>1558</v>
      </c>
      <c r="D15" s="59">
        <v>59.7</v>
      </c>
      <c r="E15" s="62">
        <f t="shared" si="5"/>
        <v>7.8533694111583424E-3</v>
      </c>
      <c r="F15" s="62">
        <f t="shared" si="0"/>
        <v>12.235549542584698</v>
      </c>
      <c r="G15" s="59"/>
      <c r="H15" s="59">
        <v>61</v>
      </c>
      <c r="I15" s="62">
        <f t="shared" si="6"/>
        <v>5.8007566204287403E-3</v>
      </c>
      <c r="J15" s="62">
        <f t="shared" si="7"/>
        <v>9.0375788146279774</v>
      </c>
      <c r="L15" s="61">
        <v>1793</v>
      </c>
      <c r="M15" s="63">
        <v>59.2</v>
      </c>
      <c r="N15" s="62">
        <f t="shared" si="1"/>
        <v>8.3503118503118479E-3</v>
      </c>
      <c r="O15" s="62">
        <f t="shared" si="2"/>
        <v>14.972109147609142</v>
      </c>
      <c r="P15" s="59"/>
      <c r="Q15" s="63">
        <v>60.3</v>
      </c>
      <c r="R15" s="62">
        <f t="shared" si="3"/>
        <v>6.643194284985332E-3</v>
      </c>
      <c r="S15" s="115">
        <f t="shared" si="8"/>
        <v>11.9112473529787</v>
      </c>
      <c r="V15" s="114">
        <v>0.41666666666666702</v>
      </c>
      <c r="W15" s="66">
        <v>1958</v>
      </c>
      <c r="X15" s="59">
        <v>59.4</v>
      </c>
      <c r="Y15" s="62">
        <f t="shared" si="9"/>
        <v>8.3398083398083384E-3</v>
      </c>
      <c r="Z15" s="62">
        <f t="shared" si="10"/>
        <v>16.329344729344726</v>
      </c>
      <c r="AA15" s="59"/>
      <c r="AB15" s="63">
        <v>61</v>
      </c>
      <c r="AC15" s="62">
        <f t="shared" si="11"/>
        <v>5.8007566204287403E-3</v>
      </c>
      <c r="AD15" s="62">
        <f t="shared" si="12"/>
        <v>11.357881462799474</v>
      </c>
      <c r="AF15" s="66">
        <v>2253</v>
      </c>
      <c r="AG15" s="63">
        <v>58.1</v>
      </c>
      <c r="AH15" s="62">
        <f t="shared" si="13"/>
        <v>1.0122070700383942E-2</v>
      </c>
      <c r="AI15" s="62">
        <f t="shared" si="4"/>
        <v>22.805025287965023</v>
      </c>
      <c r="AJ15" s="59"/>
      <c r="AK15" s="63">
        <v>60.2</v>
      </c>
      <c r="AL15" s="62">
        <f t="shared" si="14"/>
        <v>6.7958088423204638E-3</v>
      </c>
      <c r="AM15" s="62">
        <f t="shared" si="15"/>
        <v>15.310957321748004</v>
      </c>
      <c r="AO15" s="119">
        <f t="shared" si="16"/>
        <v>0.50038850038850025</v>
      </c>
    </row>
    <row r="16" spans="2:41">
      <c r="B16" s="114">
        <v>0.45833333333333398</v>
      </c>
      <c r="C16" s="61">
        <v>1621</v>
      </c>
      <c r="D16" s="59">
        <v>59.7</v>
      </c>
      <c r="E16" s="62">
        <f t="shared" si="5"/>
        <v>7.8533694111583424E-3</v>
      </c>
      <c r="F16" s="62">
        <f t="shared" si="0"/>
        <v>12.730311815487672</v>
      </c>
      <c r="G16" s="59"/>
      <c r="H16" s="59">
        <v>61</v>
      </c>
      <c r="I16" s="62">
        <f t="shared" si="6"/>
        <v>5.8007566204287403E-3</v>
      </c>
      <c r="J16" s="62">
        <f t="shared" si="7"/>
        <v>9.4030264817149884</v>
      </c>
      <c r="L16" s="61">
        <v>1786</v>
      </c>
      <c r="M16" s="63">
        <v>59.1</v>
      </c>
      <c r="N16" s="62">
        <f t="shared" si="1"/>
        <v>8.5086554731224756E-3</v>
      </c>
      <c r="O16" s="62">
        <f t="shared" si="2"/>
        <v>15.196458674996741</v>
      </c>
      <c r="P16" s="59"/>
      <c r="Q16" s="63">
        <v>60.3</v>
      </c>
      <c r="R16" s="62">
        <f t="shared" si="3"/>
        <v>6.643194284985332E-3</v>
      </c>
      <c r="S16" s="115">
        <f t="shared" si="8"/>
        <v>11.864744992983804</v>
      </c>
      <c r="V16" s="114">
        <v>0.45833333333333398</v>
      </c>
      <c r="W16" s="66">
        <v>2037</v>
      </c>
      <c r="X16" s="59">
        <v>59.2</v>
      </c>
      <c r="Y16" s="62">
        <f t="shared" si="9"/>
        <v>8.6668399168399052E-3</v>
      </c>
      <c r="Z16" s="62">
        <f t="shared" si="10"/>
        <v>17.654352910602888</v>
      </c>
      <c r="AA16" s="59"/>
      <c r="AB16" s="63">
        <v>61</v>
      </c>
      <c r="AC16" s="62">
        <f t="shared" si="11"/>
        <v>5.8007566204287403E-3</v>
      </c>
      <c r="AD16" s="62">
        <f t="shared" si="12"/>
        <v>11.816141235813344</v>
      </c>
      <c r="AF16" s="66">
        <v>2245</v>
      </c>
      <c r="AG16" s="63">
        <v>58.2</v>
      </c>
      <c r="AH16" s="62">
        <f t="shared" si="13"/>
        <v>9.9582342056568768E-3</v>
      </c>
      <c r="AI16" s="62">
        <f t="shared" si="4"/>
        <v>22.356235791699689</v>
      </c>
      <c r="AJ16" s="59"/>
      <c r="AK16" s="63">
        <v>60.2</v>
      </c>
      <c r="AL16" s="62">
        <f t="shared" si="14"/>
        <v>6.7958088423204638E-3</v>
      </c>
      <c r="AM16" s="62">
        <f t="shared" si="15"/>
        <v>15.256590851009442</v>
      </c>
      <c r="AO16" s="119">
        <f t="shared" si="16"/>
        <v>0.52001039501039426</v>
      </c>
    </row>
    <row r="17" spans="2:41">
      <c r="B17" s="114">
        <v>0.5</v>
      </c>
      <c r="C17" s="61">
        <v>1863</v>
      </c>
      <c r="D17" s="59">
        <v>59.5</v>
      </c>
      <c r="E17" s="62">
        <f t="shared" si="5"/>
        <v>8.1771170006464111E-3</v>
      </c>
      <c r="F17" s="62">
        <f t="shared" si="0"/>
        <v>15.233968972204265</v>
      </c>
      <c r="G17" s="59"/>
      <c r="H17" s="59">
        <v>61</v>
      </c>
      <c r="I17" s="62">
        <f t="shared" si="6"/>
        <v>5.8007566204287403E-3</v>
      </c>
      <c r="J17" s="62">
        <f t="shared" si="7"/>
        <v>10.806809583858744</v>
      </c>
      <c r="L17" s="61">
        <v>1897</v>
      </c>
      <c r="M17" s="63">
        <v>59.1</v>
      </c>
      <c r="N17" s="62">
        <f t="shared" si="1"/>
        <v>8.5086554731224756E-3</v>
      </c>
      <c r="O17" s="62">
        <f t="shared" si="2"/>
        <v>16.140919432513336</v>
      </c>
      <c r="P17" s="59"/>
      <c r="Q17" s="63">
        <v>60.3</v>
      </c>
      <c r="R17" s="62">
        <f t="shared" si="3"/>
        <v>6.643194284985332E-3</v>
      </c>
      <c r="S17" s="115">
        <f t="shared" si="8"/>
        <v>12.602139558617175</v>
      </c>
      <c r="V17" s="114">
        <v>0.5</v>
      </c>
      <c r="W17" s="66">
        <v>2340</v>
      </c>
      <c r="X17" s="59">
        <v>57.9</v>
      </c>
      <c r="Y17" s="62">
        <f t="shared" si="9"/>
        <v>1.0847615251760326E-2</v>
      </c>
      <c r="Z17" s="62">
        <f t="shared" si="10"/>
        <v>25.383419689119162</v>
      </c>
      <c r="AA17" s="59"/>
      <c r="AB17" s="63">
        <v>60.9</v>
      </c>
      <c r="AC17" s="62">
        <f t="shared" si="11"/>
        <v>5.9555387141593946E-3</v>
      </c>
      <c r="AD17" s="62">
        <f t="shared" si="12"/>
        <v>13.935960591132984</v>
      </c>
      <c r="AF17" s="66">
        <v>2385</v>
      </c>
      <c r="AG17" s="63">
        <v>57.4</v>
      </c>
      <c r="AH17" s="62">
        <f t="shared" si="13"/>
        <v>1.1284910211739482E-2</v>
      </c>
      <c r="AI17" s="62">
        <f t="shared" si="4"/>
        <v>26.914510854998664</v>
      </c>
      <c r="AJ17" s="59"/>
      <c r="AK17" s="63">
        <v>60.3</v>
      </c>
      <c r="AL17" s="62">
        <f t="shared" si="14"/>
        <v>6.643194284985332E-3</v>
      </c>
      <c r="AM17" s="62">
        <f t="shared" si="15"/>
        <v>15.844018369690017</v>
      </c>
      <c r="AO17" s="119">
        <f t="shared" si="16"/>
        <v>0.6508569151056196</v>
      </c>
    </row>
    <row r="18" spans="2:41">
      <c r="B18" s="114">
        <v>0.54166666666666696</v>
      </c>
      <c r="C18" s="61">
        <v>1854</v>
      </c>
      <c r="D18" s="59">
        <v>59.5</v>
      </c>
      <c r="E18" s="62">
        <f t="shared" si="5"/>
        <v>8.1771170006464111E-3</v>
      </c>
      <c r="F18" s="62">
        <f t="shared" si="0"/>
        <v>15.160374919198446</v>
      </c>
      <c r="G18" s="59"/>
      <c r="H18" s="59">
        <v>61</v>
      </c>
      <c r="I18" s="62">
        <f t="shared" si="6"/>
        <v>5.8007566204287403E-3</v>
      </c>
      <c r="J18" s="62">
        <f t="shared" si="7"/>
        <v>10.754602774274884</v>
      </c>
      <c r="L18" s="61">
        <v>1840</v>
      </c>
      <c r="M18" s="63">
        <v>59.2</v>
      </c>
      <c r="N18" s="62">
        <f t="shared" si="1"/>
        <v>8.3503118503118479E-3</v>
      </c>
      <c r="O18" s="62">
        <f t="shared" si="2"/>
        <v>15.3645738045738</v>
      </c>
      <c r="P18" s="59"/>
      <c r="Q18" s="63">
        <v>60.4</v>
      </c>
      <c r="R18" s="62">
        <f t="shared" si="3"/>
        <v>6.4910850738665316E-3</v>
      </c>
      <c r="S18" s="115">
        <f t="shared" si="8"/>
        <v>11.943596535914418</v>
      </c>
      <c r="V18" s="114">
        <v>0.54166666666666696</v>
      </c>
      <c r="W18" s="66">
        <v>2330</v>
      </c>
      <c r="X18" s="59">
        <v>58.2</v>
      </c>
      <c r="Y18" s="62">
        <f t="shared" si="9"/>
        <v>1.0335712397568059E-2</v>
      </c>
      <c r="Z18" s="62">
        <f t="shared" si="10"/>
        <v>24.082209886333576</v>
      </c>
      <c r="AA18" s="59"/>
      <c r="AB18" s="63">
        <v>60.9</v>
      </c>
      <c r="AC18" s="62">
        <f t="shared" si="11"/>
        <v>5.9555387141593946E-3</v>
      </c>
      <c r="AD18" s="62">
        <f t="shared" si="12"/>
        <v>13.876405203991389</v>
      </c>
      <c r="AF18" s="66">
        <v>2314</v>
      </c>
      <c r="AG18" s="63">
        <v>57.8</v>
      </c>
      <c r="AH18" s="62">
        <f t="shared" si="13"/>
        <v>1.0616981634282679E-2</v>
      </c>
      <c r="AI18" s="62">
        <f t="shared" si="4"/>
        <v>24.567695501730121</v>
      </c>
      <c r="AJ18" s="59"/>
      <c r="AK18" s="63">
        <v>60.3</v>
      </c>
      <c r="AL18" s="62">
        <f t="shared" si="14"/>
        <v>6.643194284985332E-3</v>
      </c>
      <c r="AM18" s="62">
        <f t="shared" si="15"/>
        <v>15.372351575456058</v>
      </c>
      <c r="AO18" s="119">
        <f t="shared" si="16"/>
        <v>0.62014274385408352</v>
      </c>
    </row>
    <row r="19" spans="2:41">
      <c r="B19" s="114">
        <v>0.58333333333333404</v>
      </c>
      <c r="C19" s="61">
        <v>1882</v>
      </c>
      <c r="D19" s="59">
        <v>59.5</v>
      </c>
      <c r="E19" s="62">
        <f t="shared" si="5"/>
        <v>8.1771170006464111E-3</v>
      </c>
      <c r="F19" s="62">
        <f t="shared" si="0"/>
        <v>15.389334195216545</v>
      </c>
      <c r="G19" s="59"/>
      <c r="H19" s="59">
        <v>61</v>
      </c>
      <c r="I19" s="62">
        <f t="shared" si="6"/>
        <v>5.8007566204287403E-3</v>
      </c>
      <c r="J19" s="62">
        <f t="shared" si="7"/>
        <v>10.917023959646889</v>
      </c>
      <c r="L19" s="61">
        <v>1933</v>
      </c>
      <c r="M19" s="63">
        <v>59.1</v>
      </c>
      <c r="N19" s="62">
        <f t="shared" si="1"/>
        <v>8.5086554731224756E-3</v>
      </c>
      <c r="O19" s="62">
        <f t="shared" si="2"/>
        <v>16.447231029545744</v>
      </c>
      <c r="P19" s="59"/>
      <c r="Q19" s="63">
        <v>60.5</v>
      </c>
      <c r="R19" s="62">
        <f t="shared" si="3"/>
        <v>6.3394787031150618E-3</v>
      </c>
      <c r="S19" s="115">
        <f t="shared" si="8"/>
        <v>12.254212333121414</v>
      </c>
      <c r="V19" s="114">
        <v>0.58333333333333404</v>
      </c>
      <c r="W19" s="66">
        <v>2365</v>
      </c>
      <c r="X19" s="59">
        <v>57.9</v>
      </c>
      <c r="Y19" s="62">
        <f t="shared" si="9"/>
        <v>1.0847615251760326E-2</v>
      </c>
      <c r="Z19" s="62">
        <f t="shared" si="10"/>
        <v>25.65461007041317</v>
      </c>
      <c r="AA19" s="59"/>
      <c r="AB19" s="63">
        <v>60.9</v>
      </c>
      <c r="AC19" s="62">
        <f t="shared" si="11"/>
        <v>5.9555387141593946E-3</v>
      </c>
      <c r="AD19" s="62">
        <f t="shared" si="12"/>
        <v>14.084849058986968</v>
      </c>
      <c r="AF19" s="66">
        <v>2429</v>
      </c>
      <c r="AG19" s="63">
        <v>57</v>
      </c>
      <c r="AH19" s="62">
        <f t="shared" si="13"/>
        <v>1.196221322537111E-2</v>
      </c>
      <c r="AI19" s="62">
        <f t="shared" si="4"/>
        <v>29.056215924426425</v>
      </c>
      <c r="AJ19" s="59"/>
      <c r="AK19" s="63">
        <v>60.4</v>
      </c>
      <c r="AL19" s="62">
        <f t="shared" si="14"/>
        <v>6.4910850738665316E-3</v>
      </c>
      <c r="AM19" s="62">
        <f t="shared" si="15"/>
        <v>15.766845644421805</v>
      </c>
      <c r="AO19" s="119">
        <f t="shared" si="16"/>
        <v>0.6508569151056196</v>
      </c>
    </row>
    <row r="20" spans="2:41">
      <c r="B20" s="114">
        <v>0.625</v>
      </c>
      <c r="C20" s="61">
        <v>2228</v>
      </c>
      <c r="D20" s="59">
        <v>58.4</v>
      </c>
      <c r="E20" s="62">
        <f t="shared" si="5"/>
        <v>9.9973656480505796E-3</v>
      </c>
      <c r="F20" s="62">
        <f t="shared" si="0"/>
        <v>22.274130663856692</v>
      </c>
      <c r="G20" s="59"/>
      <c r="H20" s="59">
        <v>60.9</v>
      </c>
      <c r="I20" s="62">
        <f t="shared" si="6"/>
        <v>5.9555387141593946E-3</v>
      </c>
      <c r="J20" s="62">
        <f t="shared" si="7"/>
        <v>13.268940255147131</v>
      </c>
      <c r="L20" s="61">
        <v>1912</v>
      </c>
      <c r="M20" s="63">
        <v>59.2</v>
      </c>
      <c r="N20" s="62">
        <f t="shared" si="1"/>
        <v>8.3503118503118479E-3</v>
      </c>
      <c r="O20" s="62">
        <f t="shared" si="2"/>
        <v>15.965796257796253</v>
      </c>
      <c r="P20" s="59"/>
      <c r="Q20" s="63">
        <v>60.5</v>
      </c>
      <c r="R20" s="62">
        <f t="shared" si="3"/>
        <v>6.3394787031150618E-3</v>
      </c>
      <c r="S20" s="115">
        <f t="shared" si="8"/>
        <v>12.121083280355998</v>
      </c>
      <c r="V20" s="114">
        <v>0.625</v>
      </c>
      <c r="W20" s="66">
        <v>2798</v>
      </c>
      <c r="X20" s="59">
        <v>54.3</v>
      </c>
      <c r="Y20" s="62">
        <f t="shared" si="9"/>
        <v>1.7431647542144782E-2</v>
      </c>
      <c r="Z20" s="62">
        <f t="shared" si="10"/>
        <v>48.773749822921097</v>
      </c>
      <c r="AA20" s="59"/>
      <c r="AB20" s="63">
        <v>60.7</v>
      </c>
      <c r="AC20" s="62">
        <f t="shared" si="11"/>
        <v>6.2666328728931547E-3</v>
      </c>
      <c r="AD20" s="62">
        <f t="shared" si="12"/>
        <v>17.534038778355047</v>
      </c>
      <c r="AF20" s="66">
        <v>2401</v>
      </c>
      <c r="AG20" s="63">
        <v>57.3</v>
      </c>
      <c r="AH20" s="62">
        <f t="shared" si="13"/>
        <v>1.1453349442878236E-2</v>
      </c>
      <c r="AI20" s="62">
        <f t="shared" si="4"/>
        <v>27.499492012350643</v>
      </c>
      <c r="AJ20" s="59"/>
      <c r="AK20" s="63">
        <v>60.5</v>
      </c>
      <c r="AL20" s="62">
        <f t="shared" si="14"/>
        <v>6.3394787031150618E-3</v>
      </c>
      <c r="AM20" s="62">
        <f t="shared" si="15"/>
        <v>15.221088366179263</v>
      </c>
      <c r="AO20" s="119">
        <f t="shared" si="16"/>
        <v>1.045898852528687</v>
      </c>
    </row>
    <row r="21" spans="2:41">
      <c r="B21" s="114">
        <v>0.66666666666666696</v>
      </c>
      <c r="C21" s="61">
        <v>2394</v>
      </c>
      <c r="D21" s="59">
        <v>57.5</v>
      </c>
      <c r="E21" s="62">
        <f t="shared" si="5"/>
        <v>1.1538461538461539E-2</v>
      </c>
      <c r="F21" s="62">
        <f t="shared" si="0"/>
        <v>27.623076923076926</v>
      </c>
      <c r="G21" s="59"/>
      <c r="H21" s="63">
        <v>60.8</v>
      </c>
      <c r="I21" s="62">
        <f t="shared" si="6"/>
        <v>6.1108299595141746E-3</v>
      </c>
      <c r="J21" s="62">
        <f t="shared" si="7"/>
        <v>14.629326923076935</v>
      </c>
      <c r="L21" s="61">
        <v>2147</v>
      </c>
      <c r="M21" s="63">
        <v>58.5</v>
      </c>
      <c r="N21" s="62">
        <f t="shared" si="1"/>
        <v>9.4700854700854598E-3</v>
      </c>
      <c r="O21" s="62">
        <f t="shared" si="2"/>
        <v>20.332273504273481</v>
      </c>
      <c r="P21" s="59"/>
      <c r="Q21" s="63">
        <v>60.5</v>
      </c>
      <c r="R21" s="62">
        <f t="shared" si="3"/>
        <v>6.3394787031150618E-3</v>
      </c>
      <c r="S21" s="115">
        <f t="shared" si="8"/>
        <v>13.610860775588037</v>
      </c>
      <c r="V21" s="114">
        <v>0.66666666666666696</v>
      </c>
      <c r="W21" s="66">
        <v>3009</v>
      </c>
      <c r="X21" s="59">
        <v>52.3</v>
      </c>
      <c r="Y21" s="62">
        <f t="shared" si="9"/>
        <v>2.1481100161788502E-2</v>
      </c>
      <c r="Z21" s="62">
        <f t="shared" si="10"/>
        <v>64.636630386821608</v>
      </c>
      <c r="AA21" s="59"/>
      <c r="AB21" s="63">
        <v>60.4</v>
      </c>
      <c r="AC21" s="62">
        <f t="shared" si="11"/>
        <v>6.7371370351502757E-3</v>
      </c>
      <c r="AD21" s="62">
        <f t="shared" si="12"/>
        <v>20.272045338767178</v>
      </c>
      <c r="AF21" s="66">
        <v>2700</v>
      </c>
      <c r="AG21" s="63">
        <v>54.2</v>
      </c>
      <c r="AH21" s="62">
        <f t="shared" si="13"/>
        <v>1.6983252909452157E-2</v>
      </c>
      <c r="AI21" s="62">
        <f t="shared" si="4"/>
        <v>45.854782855520824</v>
      </c>
      <c r="AJ21" s="59"/>
      <c r="AK21" s="63">
        <v>60.4</v>
      </c>
      <c r="AL21" s="62">
        <f t="shared" si="14"/>
        <v>6.4910850738665316E-3</v>
      </c>
      <c r="AM21" s="62">
        <f t="shared" si="15"/>
        <v>17.525929699439637</v>
      </c>
      <c r="AO21" s="119">
        <f t="shared" si="16"/>
        <v>1.2888660097073101</v>
      </c>
    </row>
    <row r="22" spans="2:41">
      <c r="B22" s="114">
        <v>0.70833333333333404</v>
      </c>
      <c r="C22" s="61">
        <v>2435</v>
      </c>
      <c r="D22" s="59">
        <v>57.3</v>
      </c>
      <c r="E22" s="62">
        <f t="shared" si="5"/>
        <v>1.1887501678077589E-2</v>
      </c>
      <c r="F22" s="62">
        <f t="shared" si="0"/>
        <v>28.946066586118928</v>
      </c>
      <c r="G22" s="59"/>
      <c r="H22" s="63">
        <v>60.7</v>
      </c>
      <c r="I22" s="62">
        <f t="shared" si="6"/>
        <v>6.2666328728931547E-3</v>
      </c>
      <c r="J22" s="62">
        <f t="shared" si="7"/>
        <v>15.259251045494832</v>
      </c>
      <c r="L22" s="61">
        <v>2562</v>
      </c>
      <c r="M22" s="63">
        <v>55.3</v>
      </c>
      <c r="N22" s="62">
        <f t="shared" si="1"/>
        <v>1.4950062595632224E-2</v>
      </c>
      <c r="O22" s="62">
        <f t="shared" si="2"/>
        <v>38.302060370009755</v>
      </c>
      <c r="P22" s="59"/>
      <c r="Q22" s="63">
        <v>60.4</v>
      </c>
      <c r="R22" s="62">
        <f t="shared" si="3"/>
        <v>6.4910850738665316E-3</v>
      </c>
      <c r="S22" s="115">
        <f t="shared" si="8"/>
        <v>16.630159959246054</v>
      </c>
      <c r="V22" s="114">
        <v>0.70833333333333404</v>
      </c>
      <c r="W22" s="66">
        <v>3060</v>
      </c>
      <c r="X22" s="59">
        <v>52.1</v>
      </c>
      <c r="Y22" s="62">
        <f t="shared" si="9"/>
        <v>2.19031448398051E-2</v>
      </c>
      <c r="Z22" s="62">
        <f t="shared" si="10"/>
        <v>67.023623209803603</v>
      </c>
      <c r="AA22" s="59"/>
      <c r="AB22" s="63">
        <v>60.2</v>
      </c>
      <c r="AC22" s="62">
        <f t="shared" si="11"/>
        <v>7.0534117045744915E-3</v>
      </c>
      <c r="AD22" s="62">
        <f t="shared" si="12"/>
        <v>21.583439815997945</v>
      </c>
      <c r="AF22" s="66">
        <v>3219</v>
      </c>
      <c r="AG22" s="63">
        <v>42.7</v>
      </c>
      <c r="AH22" s="62">
        <f t="shared" si="13"/>
        <v>4.4511619528012955E-2</v>
      </c>
      <c r="AI22" s="62">
        <f>AH22*AF22</f>
        <v>143.28290326067369</v>
      </c>
      <c r="AJ22" s="59"/>
      <c r="AK22" s="63">
        <v>58.9</v>
      </c>
      <c r="AL22" s="62">
        <f t="shared" si="14"/>
        <v>8.8269557267859483E-3</v>
      </c>
      <c r="AM22" s="62">
        <f t="shared" si="15"/>
        <v>28.413970484523968</v>
      </c>
      <c r="AO22" s="119">
        <f t="shared" si="16"/>
        <v>1.314188690388306</v>
      </c>
    </row>
    <row r="23" spans="2:41">
      <c r="B23" s="114">
        <v>0.75</v>
      </c>
      <c r="C23" s="61">
        <v>2187</v>
      </c>
      <c r="D23" s="59">
        <v>58.7</v>
      </c>
      <c r="E23" s="62">
        <f t="shared" si="5"/>
        <v>9.4941685231293288E-3</v>
      </c>
      <c r="F23" s="62">
        <f t="shared" si="0"/>
        <v>20.763746560083842</v>
      </c>
      <c r="G23" s="59"/>
      <c r="H23" s="59">
        <v>60.7</v>
      </c>
      <c r="I23" s="62">
        <f t="shared" si="6"/>
        <v>6.2666328728931547E-3</v>
      </c>
      <c r="J23" s="62">
        <f t="shared" si="7"/>
        <v>13.705126093017329</v>
      </c>
      <c r="L23" s="61">
        <v>2798</v>
      </c>
      <c r="M23" s="63">
        <v>51.6</v>
      </c>
      <c r="N23" s="62">
        <f t="shared" si="1"/>
        <v>2.2133571854502085E-2</v>
      </c>
      <c r="O23" s="62">
        <f t="shared" si="2"/>
        <v>61.929734048896833</v>
      </c>
      <c r="P23" s="59"/>
      <c r="Q23" s="63">
        <v>60.1</v>
      </c>
      <c r="R23" s="62">
        <f t="shared" si="3"/>
        <v>6.9489312683988225E-3</v>
      </c>
      <c r="S23" s="115">
        <f t="shared" si="8"/>
        <v>19.443109688979906</v>
      </c>
      <c r="V23" s="114">
        <v>0.75</v>
      </c>
      <c r="W23" s="66">
        <v>2749</v>
      </c>
      <c r="X23" s="59">
        <v>54.5</v>
      </c>
      <c r="Y23" s="62">
        <f t="shared" si="9"/>
        <v>1.7043048694424842E-2</v>
      </c>
      <c r="Z23" s="62">
        <f t="shared" si="10"/>
        <v>46.851340860973892</v>
      </c>
      <c r="AA23" s="59"/>
      <c r="AB23" s="63">
        <v>60.5</v>
      </c>
      <c r="AC23" s="62">
        <f t="shared" si="11"/>
        <v>6.579783852511123E-3</v>
      </c>
      <c r="AD23" s="62">
        <f t="shared" si="12"/>
        <v>18.087825810553078</v>
      </c>
      <c r="AF23" s="66">
        <v>3514</v>
      </c>
      <c r="AG23" s="63">
        <v>37.4</v>
      </c>
      <c r="AH23" s="62">
        <f t="shared" si="13"/>
        <v>6.2897573015220073E-2</v>
      </c>
      <c r="AI23" s="62">
        <f t="shared" si="4"/>
        <v>221.02207157548335</v>
      </c>
      <c r="AJ23" s="59"/>
      <c r="AK23" s="63">
        <v>57.1</v>
      </c>
      <c r="AL23" s="62">
        <f t="shared" si="14"/>
        <v>1.1791997844537244E-2</v>
      </c>
      <c r="AM23" s="62">
        <f t="shared" si="15"/>
        <v>41.437080425703876</v>
      </c>
      <c r="AO23" s="119">
        <f t="shared" si="16"/>
        <v>1.0225829216654905</v>
      </c>
    </row>
    <row r="24" spans="2:41">
      <c r="B24" s="114">
        <v>0.79166666666666696</v>
      </c>
      <c r="C24" s="61">
        <v>1691</v>
      </c>
      <c r="D24" s="59">
        <v>59.6</v>
      </c>
      <c r="E24" s="62">
        <f t="shared" si="5"/>
        <v>8.014971605575627E-3</v>
      </c>
      <c r="F24" s="62">
        <f t="shared" si="0"/>
        <v>13.553316985028385</v>
      </c>
      <c r="G24" s="59"/>
      <c r="H24" s="59">
        <v>60.9</v>
      </c>
      <c r="I24" s="62">
        <f t="shared" si="6"/>
        <v>5.9555387141593946E-3</v>
      </c>
      <c r="J24" s="62">
        <f t="shared" si="7"/>
        <v>10.070815965643536</v>
      </c>
      <c r="L24" s="61">
        <v>1641</v>
      </c>
      <c r="M24" s="63">
        <v>59.2</v>
      </c>
      <c r="N24" s="62">
        <f t="shared" si="1"/>
        <v>8.3503118503118479E-3</v>
      </c>
      <c r="O24" s="62">
        <f t="shared" si="2"/>
        <v>13.702861746361743</v>
      </c>
      <c r="P24" s="59"/>
      <c r="Q24" s="63">
        <v>60.5</v>
      </c>
      <c r="R24" s="62">
        <f t="shared" si="3"/>
        <v>6.3394787031150618E-3</v>
      </c>
      <c r="S24" s="115">
        <f t="shared" si="8"/>
        <v>10.403084551811816</v>
      </c>
      <c r="V24" s="114">
        <v>0.79166666666666696</v>
      </c>
      <c r="W24" s="66">
        <v>2124</v>
      </c>
      <c r="X24" s="59">
        <v>58.9</v>
      </c>
      <c r="Y24" s="62">
        <f t="shared" si="9"/>
        <v>9.1615515214836102E-3</v>
      </c>
      <c r="Z24" s="62">
        <f t="shared" si="10"/>
        <v>19.459135431631189</v>
      </c>
      <c r="AA24" s="59"/>
      <c r="AB24" s="63">
        <v>60.9</v>
      </c>
      <c r="AC24" s="62">
        <f t="shared" si="11"/>
        <v>5.9555387141593946E-3</v>
      </c>
      <c r="AD24" s="62">
        <f t="shared" si="12"/>
        <v>12.649564228874555</v>
      </c>
      <c r="AF24" s="66">
        <v>2062</v>
      </c>
      <c r="AG24" s="63">
        <v>40.299999999999997</v>
      </c>
      <c r="AH24" s="62">
        <f t="shared" si="13"/>
        <v>5.2238213399503727E-2</v>
      </c>
      <c r="AI24" s="62">
        <f t="shared" si="4"/>
        <v>107.71519602977669</v>
      </c>
      <c r="AJ24" s="59"/>
      <c r="AK24" s="63">
        <v>60.4</v>
      </c>
      <c r="AL24" s="62">
        <f t="shared" si="14"/>
        <v>6.4910850738665316E-3</v>
      </c>
      <c r="AM24" s="62">
        <f t="shared" si="15"/>
        <v>13.384617422312788</v>
      </c>
      <c r="AO24" s="119">
        <f t="shared" si="16"/>
        <v>0.54969309128901656</v>
      </c>
    </row>
    <row r="25" spans="2:41">
      <c r="B25" s="114">
        <v>0.83333333333333404</v>
      </c>
      <c r="C25" s="61">
        <v>1167</v>
      </c>
      <c r="D25" s="59">
        <v>59.8</v>
      </c>
      <c r="E25" s="62">
        <f t="shared" si="5"/>
        <v>7.6923076923076927E-3</v>
      </c>
      <c r="F25" s="62">
        <f t="shared" si="0"/>
        <v>8.976923076923077</v>
      </c>
      <c r="G25" s="59"/>
      <c r="H25" s="59">
        <v>61</v>
      </c>
      <c r="I25" s="62">
        <f t="shared" si="6"/>
        <v>5.8007566204287403E-3</v>
      </c>
      <c r="J25" s="62">
        <f t="shared" si="7"/>
        <v>6.7694829760403401</v>
      </c>
      <c r="L25" s="61">
        <v>1228</v>
      </c>
      <c r="M25" s="63">
        <v>59.5</v>
      </c>
      <c r="N25" s="62">
        <f t="shared" si="1"/>
        <v>7.8784744667097506E-3</v>
      </c>
      <c r="O25" s="62">
        <f t="shared" si="2"/>
        <v>9.6747666451195737</v>
      </c>
      <c r="P25" s="59"/>
      <c r="Q25" s="63">
        <v>60.6</v>
      </c>
      <c r="R25" s="62">
        <f t="shared" si="3"/>
        <v>6.1883726834221775E-3</v>
      </c>
      <c r="S25" s="115">
        <f t="shared" si="8"/>
        <v>7.5993216552424343</v>
      </c>
      <c r="V25" s="114">
        <v>0.83333333333333404</v>
      </c>
      <c r="W25" s="66">
        <v>1467</v>
      </c>
      <c r="X25" s="59">
        <v>59.6</v>
      </c>
      <c r="Y25" s="62">
        <f t="shared" si="9"/>
        <v>8.014971605575627E-3</v>
      </c>
      <c r="Z25" s="62">
        <f t="shared" si="10"/>
        <v>11.757963345379444</v>
      </c>
      <c r="AA25" s="59"/>
      <c r="AB25" s="63">
        <v>61</v>
      </c>
      <c r="AC25" s="62">
        <f t="shared" si="11"/>
        <v>5.8007566204287403E-3</v>
      </c>
      <c r="AD25" s="62">
        <f t="shared" si="12"/>
        <v>8.5097099621689622</v>
      </c>
      <c r="AF25" s="66">
        <v>1541</v>
      </c>
      <c r="AG25" s="63">
        <v>57.6</v>
      </c>
      <c r="AH25" s="62">
        <f t="shared" si="13"/>
        <v>1.0949786324786312E-2</v>
      </c>
      <c r="AI25" s="62">
        <f t="shared" si="4"/>
        <v>16.873620726495705</v>
      </c>
      <c r="AJ25" s="59"/>
      <c r="AK25" s="63">
        <v>60.6</v>
      </c>
      <c r="AL25" s="62">
        <f t="shared" si="14"/>
        <v>6.1883726834221775E-3</v>
      </c>
      <c r="AM25" s="62">
        <f t="shared" si="15"/>
        <v>9.5362823051535752</v>
      </c>
      <c r="AO25" s="119">
        <f t="shared" si="16"/>
        <v>0.48089829633453762</v>
      </c>
    </row>
    <row r="26" spans="2:41">
      <c r="B26" s="114">
        <v>0.875</v>
      </c>
      <c r="C26" s="61">
        <v>1122</v>
      </c>
      <c r="D26" s="59">
        <v>59.8</v>
      </c>
      <c r="E26" s="62">
        <f t="shared" si="5"/>
        <v>7.6923076923076927E-3</v>
      </c>
      <c r="F26" s="62">
        <f t="shared" si="0"/>
        <v>8.6307692307692321</v>
      </c>
      <c r="G26" s="59"/>
      <c r="H26" s="59">
        <v>61</v>
      </c>
      <c r="I26" s="62">
        <f t="shared" si="6"/>
        <v>5.8007566204287403E-3</v>
      </c>
      <c r="J26" s="62">
        <f t="shared" si="7"/>
        <v>6.5084489281210463</v>
      </c>
      <c r="L26" s="61">
        <v>1047</v>
      </c>
      <c r="M26" s="63">
        <v>59.6</v>
      </c>
      <c r="N26" s="62">
        <f t="shared" si="1"/>
        <v>7.7222509034589465E-3</v>
      </c>
      <c r="O26" s="62">
        <f t="shared" si="2"/>
        <v>8.0851966959215176</v>
      </c>
      <c r="P26" s="59"/>
      <c r="Q26" s="63">
        <v>60.7</v>
      </c>
      <c r="R26" s="62">
        <f t="shared" si="3"/>
        <v>6.0377645418831505E-3</v>
      </c>
      <c r="S26" s="115">
        <f t="shared" si="8"/>
        <v>6.3215394753516589</v>
      </c>
      <c r="V26" s="114">
        <v>0.875</v>
      </c>
      <c r="W26" s="66">
        <v>1410</v>
      </c>
      <c r="X26" s="59">
        <v>59.6</v>
      </c>
      <c r="Y26" s="62">
        <f t="shared" si="9"/>
        <v>8.014971605575627E-3</v>
      </c>
      <c r="Z26" s="62">
        <f t="shared" si="10"/>
        <v>11.301109963861634</v>
      </c>
      <c r="AA26" s="59"/>
      <c r="AB26" s="63">
        <v>61</v>
      </c>
      <c r="AC26" s="62">
        <f t="shared" si="11"/>
        <v>5.8007566204287403E-3</v>
      </c>
      <c r="AD26" s="62">
        <f t="shared" si="12"/>
        <v>8.179066834804523</v>
      </c>
      <c r="AF26" s="66">
        <v>1317</v>
      </c>
      <c r="AG26" s="63">
        <v>59.5</v>
      </c>
      <c r="AH26" s="62">
        <f t="shared" si="13"/>
        <v>7.8784744667097506E-3</v>
      </c>
      <c r="AI26" s="62">
        <f t="shared" si="4"/>
        <v>10.375950872656741</v>
      </c>
      <c r="AJ26" s="59"/>
      <c r="AK26" s="63">
        <v>60.7</v>
      </c>
      <c r="AL26" s="62">
        <f t="shared" si="14"/>
        <v>6.0377645418831505E-3</v>
      </c>
      <c r="AM26" s="62">
        <f t="shared" si="15"/>
        <v>7.9517359016601095</v>
      </c>
      <c r="AO26" s="119">
        <f t="shared" si="16"/>
        <v>0.48089829633453762</v>
      </c>
    </row>
    <row r="27" spans="2:41">
      <c r="B27" s="114">
        <v>0.91666666666666696</v>
      </c>
      <c r="C27" s="61">
        <v>881</v>
      </c>
      <c r="D27" s="59">
        <v>59.9</v>
      </c>
      <c r="E27" s="62">
        <f t="shared" si="5"/>
        <v>7.5317837421343264E-3</v>
      </c>
      <c r="F27" s="62">
        <f t="shared" si="0"/>
        <v>6.635501476820342</v>
      </c>
      <c r="G27" s="59"/>
      <c r="H27" s="59">
        <v>61.1</v>
      </c>
      <c r="I27" s="62">
        <f t="shared" si="6"/>
        <v>5.6464811783960706E-3</v>
      </c>
      <c r="J27" s="62">
        <f t="shared" si="7"/>
        <v>4.9745499181669386</v>
      </c>
      <c r="L27" s="61">
        <v>793</v>
      </c>
      <c r="M27" s="63">
        <v>59.6</v>
      </c>
      <c r="N27" s="62">
        <f t="shared" si="1"/>
        <v>7.7222509034589465E-3</v>
      </c>
      <c r="O27" s="62">
        <f t="shared" si="2"/>
        <v>6.1237449664429446</v>
      </c>
      <c r="P27" s="59"/>
      <c r="Q27" s="63">
        <v>60.7</v>
      </c>
      <c r="R27" s="62">
        <f t="shared" si="3"/>
        <v>6.0377645418831505E-3</v>
      </c>
      <c r="S27" s="115">
        <f t="shared" si="8"/>
        <v>4.7879472817133379</v>
      </c>
      <c r="V27" s="114">
        <v>0.91666666666666696</v>
      </c>
      <c r="W27" s="66">
        <v>1106</v>
      </c>
      <c r="X27" s="59">
        <v>59.8</v>
      </c>
      <c r="Y27" s="62">
        <f t="shared" si="9"/>
        <v>7.6923076923076927E-3</v>
      </c>
      <c r="Z27" s="62">
        <f t="shared" si="10"/>
        <v>8.5076923076923077</v>
      </c>
      <c r="AA27" s="59"/>
      <c r="AB27" s="63">
        <v>61.1</v>
      </c>
      <c r="AC27" s="62">
        <f t="shared" si="11"/>
        <v>5.6464811783960706E-3</v>
      </c>
      <c r="AD27" s="62">
        <f t="shared" si="12"/>
        <v>6.2450081833060542</v>
      </c>
      <c r="AF27" s="66">
        <v>997</v>
      </c>
      <c r="AG27" s="63">
        <v>59.6</v>
      </c>
      <c r="AH27" s="62">
        <f t="shared" si="13"/>
        <v>7.7222509034589465E-3</v>
      </c>
      <c r="AI27" s="62">
        <f t="shared" si="4"/>
        <v>7.6990841507485692</v>
      </c>
      <c r="AJ27" s="59"/>
      <c r="AK27" s="63">
        <v>60.7</v>
      </c>
      <c r="AL27" s="62">
        <f t="shared" si="14"/>
        <v>6.0377645418831505E-3</v>
      </c>
      <c r="AM27" s="62">
        <f t="shared" si="15"/>
        <v>6.0196512482575013</v>
      </c>
      <c r="AO27" s="119">
        <f t="shared" si="16"/>
        <v>0.46153846153846156</v>
      </c>
    </row>
    <row r="28" spans="2:41">
      <c r="B28" s="114">
        <v>0.95833333333333404</v>
      </c>
      <c r="C28" s="61">
        <v>678</v>
      </c>
      <c r="D28" s="59">
        <v>60</v>
      </c>
      <c r="E28" s="62">
        <f t="shared" si="5"/>
        <v>7.3717948717948734E-3</v>
      </c>
      <c r="F28" s="62">
        <f t="shared" si="0"/>
        <v>4.9980769230769244</v>
      </c>
      <c r="G28" s="59"/>
      <c r="H28" s="59">
        <v>61.2</v>
      </c>
      <c r="I28" s="62">
        <f t="shared" si="6"/>
        <v>5.4927099044746047E-3</v>
      </c>
      <c r="J28" s="62">
        <f t="shared" si="7"/>
        <v>3.7240573152337819</v>
      </c>
      <c r="L28" s="61">
        <v>626</v>
      </c>
      <c r="M28" s="63">
        <v>59.6</v>
      </c>
      <c r="N28" s="62">
        <f t="shared" si="1"/>
        <v>7.7222509034589465E-3</v>
      </c>
      <c r="O28" s="62">
        <f t="shared" si="2"/>
        <v>4.8341290655653006</v>
      </c>
      <c r="P28" s="59"/>
      <c r="Q28" s="63">
        <v>60.7</v>
      </c>
      <c r="R28" s="62">
        <f t="shared" si="3"/>
        <v>6.0377645418831505E-3</v>
      </c>
      <c r="S28" s="115">
        <f t="shared" si="8"/>
        <v>3.7796406032188523</v>
      </c>
      <c r="V28" s="114">
        <v>0.95833333333333404</v>
      </c>
      <c r="W28" s="66">
        <v>852</v>
      </c>
      <c r="X28" s="59">
        <v>59.9</v>
      </c>
      <c r="Y28" s="62">
        <f t="shared" si="9"/>
        <v>7.5317837421343264E-3</v>
      </c>
      <c r="Z28" s="62">
        <f t="shared" si="10"/>
        <v>6.4170797482984465</v>
      </c>
      <c r="AA28" s="59"/>
      <c r="AB28" s="63">
        <v>61.1</v>
      </c>
      <c r="AC28" s="62">
        <f t="shared" si="11"/>
        <v>5.6464811783960706E-3</v>
      </c>
      <c r="AD28" s="62">
        <f t="shared" si="12"/>
        <v>4.8108019639934518</v>
      </c>
      <c r="AF28" s="66">
        <v>788</v>
      </c>
      <c r="AG28" s="63">
        <v>59.6</v>
      </c>
      <c r="AH28" s="62">
        <f t="shared" si="13"/>
        <v>7.7222509034589465E-3</v>
      </c>
      <c r="AI28" s="62">
        <f t="shared" si="4"/>
        <v>6.0851337119256499</v>
      </c>
      <c r="AJ28" s="59"/>
      <c r="AK28" s="63">
        <v>60.7</v>
      </c>
      <c r="AL28" s="62">
        <f t="shared" si="14"/>
        <v>6.0377645418831505E-3</v>
      </c>
      <c r="AM28" s="62">
        <f t="shared" si="15"/>
        <v>4.7577584590039228</v>
      </c>
      <c r="AO28" s="119">
        <f t="shared" si="16"/>
        <v>0.45190702452805959</v>
      </c>
    </row>
    <row r="29" spans="2:41">
      <c r="B29" s="114">
        <v>1</v>
      </c>
      <c r="C29" s="61">
        <v>407</v>
      </c>
      <c r="D29" s="59">
        <v>60</v>
      </c>
      <c r="E29" s="62">
        <f t="shared" si="5"/>
        <v>7.3717948717948734E-3</v>
      </c>
      <c r="F29" s="62">
        <f t="shared" si="0"/>
        <v>3.0003205128205135</v>
      </c>
      <c r="G29" s="59"/>
      <c r="H29" s="59">
        <v>61.2</v>
      </c>
      <c r="I29" s="62">
        <f t="shared" si="6"/>
        <v>5.4927099044746047E-3</v>
      </c>
      <c r="J29" s="62">
        <f t="shared" si="7"/>
        <v>2.2355329311211642</v>
      </c>
      <c r="L29" s="61">
        <v>376</v>
      </c>
      <c r="M29" s="63">
        <v>59.6</v>
      </c>
      <c r="N29" s="62">
        <f t="shared" si="1"/>
        <v>7.7222509034589465E-3</v>
      </c>
      <c r="O29" s="62">
        <f t="shared" si="2"/>
        <v>2.9035663397005638</v>
      </c>
      <c r="P29" s="59"/>
      <c r="Q29" s="63">
        <v>60.7</v>
      </c>
      <c r="R29" s="62">
        <f t="shared" si="3"/>
        <v>6.0377645418831505E-3</v>
      </c>
      <c r="S29" s="115">
        <f t="shared" si="8"/>
        <v>2.2701994677480646</v>
      </c>
      <c r="V29" s="114">
        <v>1</v>
      </c>
      <c r="W29" s="66">
        <v>511</v>
      </c>
      <c r="X29" s="59">
        <v>60</v>
      </c>
      <c r="Y29" s="62">
        <f t="shared" si="9"/>
        <v>7.3717948717948734E-3</v>
      </c>
      <c r="Z29" s="62">
        <f t="shared" si="10"/>
        <v>3.7669871794871801</v>
      </c>
      <c r="AA29" s="59"/>
      <c r="AB29" s="63">
        <v>61.2</v>
      </c>
      <c r="AC29" s="62">
        <f t="shared" si="11"/>
        <v>5.4927099044746047E-3</v>
      </c>
      <c r="AD29" s="62">
        <f t="shared" si="12"/>
        <v>2.806774761186523</v>
      </c>
      <c r="AF29" s="66">
        <v>473</v>
      </c>
      <c r="AG29" s="63">
        <v>59.6</v>
      </c>
      <c r="AH29" s="62">
        <f t="shared" si="13"/>
        <v>7.7222509034589465E-3</v>
      </c>
      <c r="AI29" s="62">
        <f t="shared" si="4"/>
        <v>3.6526246773360818</v>
      </c>
      <c r="AJ29" s="59"/>
      <c r="AK29" s="63">
        <v>60.7</v>
      </c>
      <c r="AL29" s="62">
        <f t="shared" si="14"/>
        <v>6.0377645418831505E-3</v>
      </c>
      <c r="AM29" s="62">
        <f t="shared" si="15"/>
        <v>2.8558626283107302</v>
      </c>
      <c r="AO29" s="119">
        <f t="shared" si="16"/>
        <v>0.4423076923076924</v>
      </c>
    </row>
    <row r="30" spans="2:41">
      <c r="B30" s="112"/>
      <c r="C30" s="59"/>
      <c r="D30" s="59"/>
      <c r="E30" s="59"/>
      <c r="F30" s="62">
        <f>SUM(F6:F29)</f>
        <v>294.6985346648292</v>
      </c>
      <c r="G30" s="59"/>
      <c r="H30" s="59"/>
      <c r="I30" s="59"/>
      <c r="J30" s="62">
        <f>SUM(J6:J29)</f>
        <v>193.67363394859552</v>
      </c>
      <c r="L30" s="59"/>
      <c r="M30" s="59"/>
      <c r="N30" s="59"/>
      <c r="O30" s="62">
        <f>SUM(O6:O29)</f>
        <v>322.30750887954599</v>
      </c>
      <c r="P30" s="59"/>
      <c r="Q30" s="59"/>
      <c r="R30" s="59"/>
      <c r="S30" s="115">
        <f>SUM(S6:S29)</f>
        <v>207.35310929929099</v>
      </c>
      <c r="V30" s="112"/>
      <c r="W30" s="59"/>
      <c r="X30" s="59"/>
      <c r="Y30" s="59"/>
      <c r="Z30" s="62">
        <f>SUM(Z6:Z29)</f>
        <v>555.88414043166154</v>
      </c>
      <c r="AA30" s="59"/>
      <c r="AB30" s="59"/>
      <c r="AC30" s="59"/>
      <c r="AD30" s="62">
        <f>SUM(AD6:AD29)</f>
        <v>254.96887363550246</v>
      </c>
      <c r="AF30" s="59"/>
      <c r="AG30" s="59"/>
      <c r="AH30" s="59"/>
      <c r="AI30" s="62">
        <f>SUM(AI6:AI29)</f>
        <v>799.2379750666023</v>
      </c>
      <c r="AJ30" s="59"/>
      <c r="AK30" s="59"/>
      <c r="AL30" s="59"/>
      <c r="AM30" s="62">
        <f>SUM(AM6:AM29)</f>
        <v>288.36953044553258</v>
      </c>
      <c r="AO30" s="119"/>
    </row>
    <row r="31" spans="2:41">
      <c r="B31" s="116"/>
      <c r="F31" s="117"/>
      <c r="J31" s="117"/>
      <c r="O31" s="117"/>
      <c r="S31" s="118"/>
      <c r="V31" s="116"/>
      <c r="Z31" s="117"/>
      <c r="AD31" s="117"/>
      <c r="AI31" s="117"/>
      <c r="AM31" s="117"/>
      <c r="AO31" s="119"/>
    </row>
    <row r="32" spans="2:41">
      <c r="B32" s="116" t="s">
        <v>384</v>
      </c>
      <c r="D32">
        <v>6.13</v>
      </c>
      <c r="M32">
        <v>5.92</v>
      </c>
      <c r="S32" s="119"/>
      <c r="V32" s="116" t="s">
        <v>384</v>
      </c>
      <c r="X32">
        <v>6.13</v>
      </c>
      <c r="AG32">
        <v>5.92</v>
      </c>
      <c r="AO32" s="119"/>
    </row>
    <row r="33" spans="2:41">
      <c r="B33" s="116"/>
      <c r="S33" s="119"/>
      <c r="V33" s="116"/>
      <c r="AO33" s="119"/>
    </row>
    <row r="34" spans="2:41">
      <c r="B34" s="116"/>
      <c r="E34" t="s">
        <v>385</v>
      </c>
      <c r="F34" s="117">
        <f>+F30+O30</f>
        <v>617.00604354437519</v>
      </c>
      <c r="G34" t="s">
        <v>386</v>
      </c>
      <c r="S34" s="119"/>
      <c r="V34" s="116"/>
      <c r="Y34" t="s">
        <v>385</v>
      </c>
      <c r="Z34" s="117">
        <f>+Z30+AI30</f>
        <v>1355.1221154982638</v>
      </c>
      <c r="AA34" t="s">
        <v>386</v>
      </c>
      <c r="AO34" s="119"/>
    </row>
    <row r="35" spans="2:41">
      <c r="B35" s="116"/>
      <c r="F35" s="120">
        <f>J30+S30</f>
        <v>401.02674324788654</v>
      </c>
      <c r="G35" s="121" t="s">
        <v>387</v>
      </c>
      <c r="S35" s="119"/>
      <c r="V35" s="116"/>
      <c r="Z35" s="120">
        <f>AD30+AM30</f>
        <v>543.33840408103504</v>
      </c>
      <c r="AA35" s="121" t="s">
        <v>387</v>
      </c>
      <c r="AO35" s="119"/>
    </row>
    <row r="36" spans="2:41">
      <c r="B36" s="116"/>
      <c r="E36" t="s">
        <v>161</v>
      </c>
      <c r="F36" s="117">
        <f>F34-F35</f>
        <v>215.97930029648865</v>
      </c>
      <c r="G36" t="s">
        <v>388</v>
      </c>
      <c r="S36" s="119"/>
      <c r="V36" s="116"/>
      <c r="Y36" t="s">
        <v>161</v>
      </c>
      <c r="Z36" s="117">
        <f>Z34-Z35</f>
        <v>811.7837114172288</v>
      </c>
      <c r="AA36" t="s">
        <v>388</v>
      </c>
      <c r="AO36" s="119"/>
    </row>
    <row r="37" spans="2:41">
      <c r="B37" s="116"/>
      <c r="S37" s="119"/>
      <c r="V37" s="116"/>
      <c r="AO37" s="119"/>
    </row>
    <row r="38" spans="2:41">
      <c r="B38" s="116"/>
      <c r="E38" t="s">
        <v>389</v>
      </c>
      <c r="F38">
        <f>AE52-5*AE58</f>
        <v>207.5</v>
      </c>
      <c r="G38" t="s">
        <v>388</v>
      </c>
      <c r="S38" s="119"/>
      <c r="V38" s="116"/>
      <c r="Y38" t="s">
        <v>389</v>
      </c>
      <c r="Z38">
        <f>AE56+2*AE58</f>
        <v>1490</v>
      </c>
      <c r="AA38" t="s">
        <v>388</v>
      </c>
      <c r="AO38" s="119"/>
    </row>
    <row r="39" spans="2:41" ht="15.75" thickBot="1">
      <c r="B39" s="116"/>
      <c r="S39" s="119"/>
      <c r="V39" s="116"/>
      <c r="AO39" s="119"/>
    </row>
    <row r="40" spans="2:41" ht="15.75" thickBot="1">
      <c r="B40" s="116"/>
      <c r="E40" s="64" t="s">
        <v>390</v>
      </c>
      <c r="F40" s="65">
        <f>F38+F36</f>
        <v>423.47930029648865</v>
      </c>
      <c r="S40" s="119"/>
      <c r="V40" s="116"/>
      <c r="Y40" s="64" t="s">
        <v>390</v>
      </c>
      <c r="Z40" s="65">
        <f>Z38+Z36</f>
        <v>2301.7837114172289</v>
      </c>
      <c r="AO40" s="119"/>
    </row>
    <row r="41" spans="2:41" ht="15.75" thickBot="1">
      <c r="B41" s="68"/>
      <c r="C41" s="69"/>
      <c r="D41" s="69"/>
      <c r="E41" s="69"/>
      <c r="F41" s="69"/>
      <c r="G41" s="69"/>
      <c r="H41" s="69"/>
      <c r="I41" s="69"/>
      <c r="J41" s="69"/>
      <c r="K41" s="69"/>
      <c r="L41" s="69"/>
      <c r="M41" s="69"/>
      <c r="N41" s="69"/>
      <c r="O41" s="69"/>
      <c r="P41" s="69"/>
      <c r="Q41" s="69"/>
      <c r="R41" s="69"/>
      <c r="S41" s="122"/>
      <c r="V41" s="68"/>
      <c r="W41" s="69"/>
      <c r="X41" s="69"/>
      <c r="Y41" s="69"/>
      <c r="Z41" s="69"/>
      <c r="AA41" s="69"/>
      <c r="AB41" s="69"/>
      <c r="AC41" s="69"/>
      <c r="AD41" s="69"/>
      <c r="AE41" s="69"/>
      <c r="AF41" s="69"/>
      <c r="AG41" s="69"/>
      <c r="AH41" s="69"/>
      <c r="AI41" s="69"/>
      <c r="AJ41" s="69"/>
      <c r="AK41" s="69"/>
      <c r="AL41" s="69"/>
      <c r="AM41" s="69"/>
      <c r="AN41" s="69"/>
      <c r="AO41" s="122"/>
    </row>
    <row r="43" spans="2:41" ht="15.75" thickBot="1"/>
    <row r="44" spans="2:41" ht="26.25" customHeight="1" thickBot="1">
      <c r="B44" s="622" t="s">
        <v>391</v>
      </c>
      <c r="C44" s="623"/>
      <c r="D44" s="623"/>
      <c r="E44" s="623"/>
      <c r="F44" s="623"/>
      <c r="G44" s="623"/>
      <c r="H44" s="623"/>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4"/>
    </row>
    <row r="45" spans="2:41">
      <c r="B45" s="259"/>
      <c r="C45" s="67"/>
      <c r="D45" s="634" t="s">
        <v>392</v>
      </c>
      <c r="E45" s="635"/>
      <c r="F45" s="635"/>
      <c r="G45" s="635"/>
      <c r="H45" s="635"/>
      <c r="I45" s="636"/>
      <c r="J45" s="636"/>
      <c r="K45" s="636"/>
      <c r="L45" s="636"/>
      <c r="M45" s="636"/>
      <c r="N45" s="637"/>
      <c r="O45" s="260"/>
      <c r="P45" s="634" t="s">
        <v>380</v>
      </c>
      <c r="Q45" s="635"/>
      <c r="R45" s="635"/>
      <c r="S45" s="635"/>
      <c r="T45" s="635"/>
      <c r="U45" s="636"/>
      <c r="V45" s="636"/>
      <c r="W45" s="636"/>
      <c r="X45" s="636"/>
      <c r="Y45" s="636"/>
      <c r="Z45" s="637"/>
      <c r="AH45" s="119"/>
    </row>
    <row r="46" spans="2:41" ht="45.75" thickBot="1">
      <c r="B46" s="68"/>
      <c r="C46" s="69"/>
      <c r="D46" s="70" t="s">
        <v>393</v>
      </c>
      <c r="E46" s="71" t="s">
        <v>394</v>
      </c>
      <c r="F46" s="71" t="s">
        <v>395</v>
      </c>
      <c r="G46" s="71" t="s">
        <v>396</v>
      </c>
      <c r="H46" s="71" t="s">
        <v>397</v>
      </c>
      <c r="I46" s="72" t="s">
        <v>398</v>
      </c>
      <c r="J46" s="72" t="s">
        <v>399</v>
      </c>
      <c r="K46" s="72" t="s">
        <v>400</v>
      </c>
      <c r="L46" s="72" t="s">
        <v>401</v>
      </c>
      <c r="M46" s="72" t="s">
        <v>402</v>
      </c>
      <c r="N46" s="73" t="s">
        <v>403</v>
      </c>
      <c r="O46" s="74"/>
      <c r="P46" s="70" t="s">
        <v>393</v>
      </c>
      <c r="Q46" s="71" t="s">
        <v>394</v>
      </c>
      <c r="R46" s="71" t="s">
        <v>395</v>
      </c>
      <c r="S46" s="71" t="s">
        <v>396</v>
      </c>
      <c r="T46" s="71" t="s">
        <v>397</v>
      </c>
      <c r="U46" s="72" t="s">
        <v>398</v>
      </c>
      <c r="V46" s="72" t="s">
        <v>399</v>
      </c>
      <c r="W46" s="72" t="s">
        <v>400</v>
      </c>
      <c r="X46" s="72" t="s">
        <v>401</v>
      </c>
      <c r="Y46" s="72" t="s">
        <v>402</v>
      </c>
      <c r="Z46" s="73" t="s">
        <v>403</v>
      </c>
      <c r="AA46" s="75"/>
      <c r="AC46" s="127" t="s">
        <v>404</v>
      </c>
      <c r="AH46" s="119"/>
    </row>
    <row r="47" spans="2:41">
      <c r="B47" s="116">
        <v>2020</v>
      </c>
      <c r="C47" t="s">
        <v>405</v>
      </c>
      <c r="D47" s="76">
        <v>68</v>
      </c>
      <c r="E47" s="77">
        <v>14</v>
      </c>
      <c r="F47" s="174">
        <f>6874/0.39</f>
        <v>17625.641025641024</v>
      </c>
      <c r="G47" s="175">
        <f>MIN((F47*E47)/3600,D47)</f>
        <v>68</v>
      </c>
      <c r="H47" s="77"/>
      <c r="I47" s="78"/>
      <c r="J47" s="78"/>
      <c r="K47" s="78"/>
      <c r="L47" s="78"/>
      <c r="M47" s="78"/>
      <c r="N47" s="79"/>
      <c r="O47" s="80"/>
      <c r="P47" s="81"/>
      <c r="Q47" s="82"/>
      <c r="R47" s="82"/>
      <c r="S47" s="82"/>
      <c r="T47" s="82"/>
      <c r="U47" s="83"/>
      <c r="V47" s="83"/>
      <c r="W47" s="83"/>
      <c r="X47" s="83"/>
      <c r="Y47" s="83"/>
      <c r="Z47" s="84"/>
      <c r="AH47" s="119"/>
    </row>
    <row r="48" spans="2:41" ht="15.75" thickBot="1">
      <c r="B48" s="116"/>
      <c r="C48" t="s">
        <v>406</v>
      </c>
      <c r="D48" s="85">
        <v>101</v>
      </c>
      <c r="E48" s="86">
        <v>18</v>
      </c>
      <c r="F48" s="176">
        <f>8241/0.41</f>
        <v>20100</v>
      </c>
      <c r="G48" s="177">
        <f t="shared" ref="G48:G56" si="17">MIN((F48*E48)/3600,D48)</f>
        <v>100.5</v>
      </c>
      <c r="H48" s="86"/>
      <c r="I48" s="87"/>
      <c r="J48" s="87"/>
      <c r="K48" s="87"/>
      <c r="L48" s="87"/>
      <c r="M48" s="87"/>
      <c r="N48" s="88"/>
      <c r="O48" s="89"/>
      <c r="P48" s="90"/>
      <c r="Q48" s="91"/>
      <c r="R48" s="91"/>
      <c r="S48" s="91"/>
      <c r="T48" s="91"/>
      <c r="U48" s="92"/>
      <c r="V48" s="92"/>
      <c r="W48" s="92"/>
      <c r="X48" s="92"/>
      <c r="Y48" s="92"/>
      <c r="Z48" s="93"/>
      <c r="AH48" s="119"/>
    </row>
    <row r="49" spans="2:35">
      <c r="B49" s="617">
        <v>2025</v>
      </c>
      <c r="C49" s="67" t="s">
        <v>405</v>
      </c>
      <c r="D49" s="94">
        <v>87</v>
      </c>
      <c r="E49" s="95">
        <v>16</v>
      </c>
      <c r="F49" s="178">
        <f>7929/0.41</f>
        <v>19339.024390243903</v>
      </c>
      <c r="G49" s="179">
        <f t="shared" si="17"/>
        <v>85.951219512195124</v>
      </c>
      <c r="H49" s="95" t="s">
        <v>407</v>
      </c>
      <c r="I49" s="96">
        <v>13</v>
      </c>
      <c r="J49" s="96">
        <v>1852</v>
      </c>
      <c r="K49" s="96">
        <v>203</v>
      </c>
      <c r="L49" s="96">
        <v>14.22</v>
      </c>
      <c r="M49" s="96">
        <v>2.77</v>
      </c>
      <c r="N49" s="97">
        <v>3.3</v>
      </c>
      <c r="O49" s="98"/>
      <c r="P49" s="94">
        <v>45</v>
      </c>
      <c r="Q49" s="95">
        <v>9</v>
      </c>
      <c r="R49" s="178">
        <f>4862/0.24</f>
        <v>20258.333333333336</v>
      </c>
      <c r="S49" s="179">
        <f t="shared" ref="S49:S56" si="18">MIN((R49*Q49)/3600,P49)</f>
        <v>45</v>
      </c>
      <c r="T49" s="95"/>
      <c r="U49" s="96">
        <v>17</v>
      </c>
      <c r="V49" s="96">
        <v>1874</v>
      </c>
      <c r="W49" s="96">
        <v>139</v>
      </c>
      <c r="X49" s="96">
        <v>9.7100000000000009</v>
      </c>
      <c r="Y49" s="96">
        <v>1.89</v>
      </c>
      <c r="Z49" s="97">
        <v>2.25</v>
      </c>
      <c r="AA49" s="99"/>
      <c r="AC49">
        <f>D49-P49</f>
        <v>42</v>
      </c>
      <c r="AD49" s="128">
        <f>AC49*2.5</f>
        <v>105</v>
      </c>
      <c r="AF49" s="184">
        <f>G49-S49</f>
        <v>40.951219512195124</v>
      </c>
      <c r="AH49" s="119"/>
    </row>
    <row r="50" spans="2:35" ht="15.75" thickBot="1">
      <c r="B50" s="618"/>
      <c r="C50" t="s">
        <v>406</v>
      </c>
      <c r="D50" s="100">
        <v>114</v>
      </c>
      <c r="E50" s="101">
        <v>18</v>
      </c>
      <c r="F50" s="180">
        <f>9484/0.43</f>
        <v>22055.813953488374</v>
      </c>
      <c r="G50" s="181">
        <f t="shared" si="17"/>
        <v>110.27906976744187</v>
      </c>
      <c r="H50" s="101" t="s">
        <v>408</v>
      </c>
      <c r="I50" s="102">
        <v>11</v>
      </c>
      <c r="J50" s="102">
        <v>1955</v>
      </c>
      <c r="K50" s="102">
        <v>235</v>
      </c>
      <c r="L50" s="102">
        <v>16.43</v>
      </c>
      <c r="M50" s="102">
        <v>3.2</v>
      </c>
      <c r="N50" s="103">
        <v>3.81</v>
      </c>
      <c r="O50" s="104"/>
      <c r="P50" s="100">
        <v>60</v>
      </c>
      <c r="Q50" s="101">
        <v>11</v>
      </c>
      <c r="R50" s="180">
        <f>6098/0.26</f>
        <v>23453.846153846152</v>
      </c>
      <c r="S50" s="181">
        <f t="shared" si="18"/>
        <v>60</v>
      </c>
      <c r="T50" s="101" t="s">
        <v>407</v>
      </c>
      <c r="U50" s="102">
        <v>16</v>
      </c>
      <c r="V50" s="102">
        <v>2151</v>
      </c>
      <c r="W50" s="102">
        <v>169</v>
      </c>
      <c r="X50" s="102">
        <v>11.76</v>
      </c>
      <c r="Y50" s="102">
        <v>2.29</v>
      </c>
      <c r="Z50" s="103">
        <v>2.73</v>
      </c>
      <c r="AA50" s="99"/>
      <c r="AC50">
        <f>D50-P50</f>
        <v>54</v>
      </c>
      <c r="AD50" s="128">
        <f>AC50*2.5</f>
        <v>135</v>
      </c>
      <c r="AF50" s="184">
        <f t="shared" ref="AF50:AF56" si="19">G50-S50</f>
        <v>50.279069767441868</v>
      </c>
      <c r="AH50" s="119"/>
    </row>
    <row r="51" spans="2:35">
      <c r="B51" s="618"/>
      <c r="C51" t="s">
        <v>409</v>
      </c>
      <c r="D51" s="76">
        <v>34</v>
      </c>
      <c r="E51" s="77">
        <v>11</v>
      </c>
      <c r="F51" s="174">
        <f>3155/0.28</f>
        <v>11267.857142857141</v>
      </c>
      <c r="G51" s="175">
        <f t="shared" si="17"/>
        <v>34</v>
      </c>
      <c r="H51" s="77"/>
      <c r="I51" s="78">
        <v>16</v>
      </c>
      <c r="J51" s="78">
        <v>977</v>
      </c>
      <c r="K51" s="78">
        <v>87</v>
      </c>
      <c r="L51" s="78">
        <v>6.07</v>
      </c>
      <c r="M51" s="78">
        <v>1.18</v>
      </c>
      <c r="N51" s="79">
        <v>1.41</v>
      </c>
      <c r="O51" s="80"/>
      <c r="P51" s="76">
        <v>19</v>
      </c>
      <c r="Q51" s="77">
        <v>7</v>
      </c>
      <c r="R51" s="174">
        <f>1901/0.16</f>
        <v>11881.25</v>
      </c>
      <c r="S51" s="175">
        <f t="shared" si="18"/>
        <v>19</v>
      </c>
      <c r="T51" s="77"/>
      <c r="U51" s="78">
        <v>20</v>
      </c>
      <c r="V51" s="78">
        <v>1075</v>
      </c>
      <c r="W51" s="78">
        <v>70</v>
      </c>
      <c r="X51" s="78">
        <v>4.8600000000000003</v>
      </c>
      <c r="Y51" s="78">
        <v>0.95</v>
      </c>
      <c r="Z51" s="79">
        <v>1.1299999999999999</v>
      </c>
      <c r="AA51" s="99"/>
      <c r="AC51">
        <f t="shared" ref="AC51:AC52" si="20">D51-P51</f>
        <v>15</v>
      </c>
      <c r="AD51" s="128">
        <f>AC51*5</f>
        <v>75</v>
      </c>
      <c r="AF51" s="184">
        <f t="shared" si="19"/>
        <v>15</v>
      </c>
      <c r="AH51" s="119"/>
    </row>
    <row r="52" spans="2:35" ht="15.75" thickBot="1">
      <c r="B52" s="619"/>
      <c r="C52" s="105">
        <v>0.75</v>
      </c>
      <c r="D52" s="100">
        <v>61</v>
      </c>
      <c r="E52" s="101">
        <v>13</v>
      </c>
      <c r="F52" s="180">
        <f>5954/0.36</f>
        <v>16538.888888888891</v>
      </c>
      <c r="G52" s="181">
        <f t="shared" si="17"/>
        <v>59.723765432098766</v>
      </c>
      <c r="H52" s="101"/>
      <c r="I52" s="102">
        <v>14</v>
      </c>
      <c r="J52" s="102">
        <v>1466</v>
      </c>
      <c r="K52" s="102">
        <v>149</v>
      </c>
      <c r="L52" s="102">
        <v>10.39</v>
      </c>
      <c r="M52" s="102">
        <v>2.02</v>
      </c>
      <c r="N52" s="103">
        <v>2.41</v>
      </c>
      <c r="O52" s="104"/>
      <c r="P52" s="100">
        <v>35</v>
      </c>
      <c r="Q52" s="101">
        <v>8</v>
      </c>
      <c r="R52" s="180">
        <f>3837/0.22</f>
        <v>17440.909090909092</v>
      </c>
      <c r="S52" s="181">
        <f t="shared" si="18"/>
        <v>35</v>
      </c>
      <c r="T52" s="101"/>
      <c r="U52" s="102">
        <v>18</v>
      </c>
      <c r="V52" s="102">
        <v>1613</v>
      </c>
      <c r="W52" s="102">
        <v>117</v>
      </c>
      <c r="X52" s="102">
        <v>8.18</v>
      </c>
      <c r="Y52" s="102">
        <v>1.59</v>
      </c>
      <c r="Z52" s="103">
        <v>1.9</v>
      </c>
      <c r="AA52" s="99"/>
      <c r="AC52">
        <f t="shared" si="20"/>
        <v>26</v>
      </c>
      <c r="AD52" s="128">
        <f>AC52*5</f>
        <v>130</v>
      </c>
      <c r="AE52">
        <f>SUM(AD49:AD52)</f>
        <v>445</v>
      </c>
      <c r="AF52" s="184">
        <f t="shared" si="19"/>
        <v>24.723765432098766</v>
      </c>
      <c r="AH52" s="119"/>
    </row>
    <row r="53" spans="2:35">
      <c r="B53" s="617">
        <v>2050</v>
      </c>
      <c r="C53" s="67" t="s">
        <v>405</v>
      </c>
      <c r="D53" s="94">
        <v>239</v>
      </c>
      <c r="E53" s="95">
        <v>34</v>
      </c>
      <c r="F53" s="178">
        <f>10238/0.42</f>
        <v>24376.190476190477</v>
      </c>
      <c r="G53" s="179">
        <f t="shared" si="17"/>
        <v>230.21957671957674</v>
      </c>
      <c r="H53" s="95" t="s">
        <v>410</v>
      </c>
      <c r="I53" s="96">
        <v>8</v>
      </c>
      <c r="J53" s="96">
        <v>2309</v>
      </c>
      <c r="K53" s="96">
        <v>352</v>
      </c>
      <c r="L53" s="96">
        <v>24.57</v>
      </c>
      <c r="M53" s="96">
        <v>4.78</v>
      </c>
      <c r="N53" s="97">
        <v>5.7</v>
      </c>
      <c r="O53" s="98"/>
      <c r="P53" s="94">
        <v>79</v>
      </c>
      <c r="Q53" s="95">
        <v>13</v>
      </c>
      <c r="R53" s="95">
        <f>6584/0.25</f>
        <v>26336</v>
      </c>
      <c r="S53" s="179">
        <f>MIN((R53*Q53)/3600,P53)</f>
        <v>79</v>
      </c>
      <c r="T53" s="95"/>
      <c r="U53" s="96">
        <v>15</v>
      </c>
      <c r="V53" s="96">
        <v>2317</v>
      </c>
      <c r="W53" s="96">
        <v>185</v>
      </c>
      <c r="X53" s="96">
        <v>12.91</v>
      </c>
      <c r="Y53" s="96">
        <v>2.5099999999999998</v>
      </c>
      <c r="Z53" s="97">
        <v>2.99</v>
      </c>
      <c r="AA53" s="99"/>
      <c r="AC53">
        <f>D53-P53</f>
        <v>160</v>
      </c>
      <c r="AD53" s="126">
        <f>AC53*2.5</f>
        <v>400</v>
      </c>
      <c r="AF53" s="184">
        <f t="shared" si="19"/>
        <v>151.21957671957674</v>
      </c>
      <c r="AH53" s="119"/>
    </row>
    <row r="54" spans="2:35" ht="15.75" thickBot="1">
      <c r="B54" s="618"/>
      <c r="C54" t="s">
        <v>406</v>
      </c>
      <c r="D54" s="100">
        <v>323</v>
      </c>
      <c r="E54" s="101">
        <v>39</v>
      </c>
      <c r="F54" s="180">
        <f>12947/0.47</f>
        <v>27546.808510638301</v>
      </c>
      <c r="G54" s="181">
        <f t="shared" si="17"/>
        <v>298.42375886524826</v>
      </c>
      <c r="H54" s="101" t="s">
        <v>410</v>
      </c>
      <c r="I54" s="102">
        <v>6</v>
      </c>
      <c r="J54" s="102">
        <v>2470</v>
      </c>
      <c r="K54" s="102">
        <v>435</v>
      </c>
      <c r="L54" s="102">
        <v>30.41</v>
      </c>
      <c r="M54" s="102">
        <v>5.92</v>
      </c>
      <c r="N54" s="103">
        <v>7.05</v>
      </c>
      <c r="O54" s="104"/>
      <c r="P54" s="100">
        <v>99</v>
      </c>
      <c r="Q54" s="101">
        <v>14</v>
      </c>
      <c r="R54" s="180">
        <f>8486/0.29</f>
        <v>29262.068965517243</v>
      </c>
      <c r="S54" s="181">
        <f t="shared" si="18"/>
        <v>99</v>
      </c>
      <c r="T54" s="101"/>
      <c r="U54" s="102">
        <v>14</v>
      </c>
      <c r="V54" s="102">
        <v>2696</v>
      </c>
      <c r="W54" s="102">
        <v>224</v>
      </c>
      <c r="X54" s="102">
        <v>15.6</v>
      </c>
      <c r="Y54" s="102">
        <v>3.05</v>
      </c>
      <c r="Z54" s="103">
        <v>3.63</v>
      </c>
      <c r="AA54" s="99"/>
      <c r="AC54">
        <f>D54-P54</f>
        <v>224</v>
      </c>
      <c r="AD54" s="126">
        <f>AC54*2.5</f>
        <v>560</v>
      </c>
      <c r="AF54" s="184">
        <f t="shared" si="19"/>
        <v>199.42375886524826</v>
      </c>
      <c r="AH54" s="119"/>
    </row>
    <row r="55" spans="2:35">
      <c r="B55" s="618"/>
      <c r="C55" t="s">
        <v>409</v>
      </c>
      <c r="D55" s="106">
        <v>58</v>
      </c>
      <c r="E55" s="172">
        <v>15</v>
      </c>
      <c r="F55" s="185">
        <f>4188/0.3</f>
        <v>13960</v>
      </c>
      <c r="G55" s="186">
        <f t="shared" si="17"/>
        <v>58</v>
      </c>
      <c r="I55" s="107">
        <v>13</v>
      </c>
      <c r="J55" s="107">
        <v>1235</v>
      </c>
      <c r="K55" s="107">
        <v>122</v>
      </c>
      <c r="L55" s="107">
        <v>8.5500000000000007</v>
      </c>
      <c r="M55" s="107">
        <v>1.66</v>
      </c>
      <c r="N55" s="108">
        <v>1.98</v>
      </c>
      <c r="P55" s="106">
        <v>26</v>
      </c>
      <c r="Q55" s="172">
        <v>7</v>
      </c>
      <c r="R55" s="185">
        <f>2505/0.17</f>
        <v>14735.294117647058</v>
      </c>
      <c r="S55" s="186">
        <f t="shared" si="18"/>
        <v>26</v>
      </c>
      <c r="U55" s="107">
        <v>19</v>
      </c>
      <c r="V55" s="107">
        <v>1348</v>
      </c>
      <c r="W55" s="107">
        <v>93</v>
      </c>
      <c r="X55" s="107">
        <v>6.48</v>
      </c>
      <c r="Y55" s="107">
        <v>1.26</v>
      </c>
      <c r="Z55" s="108">
        <v>1.5</v>
      </c>
      <c r="AC55">
        <f t="shared" ref="AC55:AC56" si="21">D55-P55</f>
        <v>32</v>
      </c>
      <c r="AD55" s="126">
        <f>AC55*5</f>
        <v>160</v>
      </c>
      <c r="AF55" s="184">
        <f t="shared" si="19"/>
        <v>32</v>
      </c>
      <c r="AH55" s="119"/>
    </row>
    <row r="56" spans="2:35" ht="15.75" thickBot="1">
      <c r="B56" s="619"/>
      <c r="C56" s="105">
        <v>0.75</v>
      </c>
      <c r="D56" s="109">
        <v>108</v>
      </c>
      <c r="E56" s="173">
        <v>19</v>
      </c>
      <c r="F56" s="182">
        <f>8081/0.39</f>
        <v>20720.51282051282</v>
      </c>
      <c r="G56" s="183">
        <f t="shared" si="17"/>
        <v>108</v>
      </c>
      <c r="H56" s="69"/>
      <c r="I56" s="110">
        <v>11</v>
      </c>
      <c r="J56" s="110">
        <v>1853</v>
      </c>
      <c r="K56" s="110">
        <v>214</v>
      </c>
      <c r="L56" s="110">
        <v>14.96</v>
      </c>
      <c r="M56" s="110">
        <v>2.91</v>
      </c>
      <c r="N56" s="111">
        <v>3.47</v>
      </c>
      <c r="O56" s="69"/>
      <c r="P56" s="109">
        <v>53</v>
      </c>
      <c r="Q56" s="173">
        <v>10</v>
      </c>
      <c r="R56" s="182">
        <f>4831/0.22</f>
        <v>21959.090909090908</v>
      </c>
      <c r="S56" s="183">
        <f t="shared" si="18"/>
        <v>53</v>
      </c>
      <c r="T56" s="69"/>
      <c r="U56" s="110">
        <v>17</v>
      </c>
      <c r="V56" s="110">
        <v>2022</v>
      </c>
      <c r="W56" s="110">
        <v>153</v>
      </c>
      <c r="X56" s="110">
        <v>10.72</v>
      </c>
      <c r="Y56" s="110">
        <v>2.09</v>
      </c>
      <c r="Z56" s="111">
        <v>2.4900000000000002</v>
      </c>
      <c r="AC56">
        <f t="shared" si="21"/>
        <v>55</v>
      </c>
      <c r="AD56" s="126">
        <f>AC56*5</f>
        <v>275</v>
      </c>
      <c r="AE56">
        <f>SUM(AD53:AD56)</f>
        <v>1395</v>
      </c>
      <c r="AF56" s="184">
        <f t="shared" si="19"/>
        <v>55</v>
      </c>
      <c r="AH56" s="119"/>
      <c r="AI56" s="116"/>
    </row>
    <row r="57" spans="2:35">
      <c r="B57" s="116"/>
      <c r="AH57" s="119"/>
    </row>
    <row r="58" spans="2:35">
      <c r="B58" s="116" t="s">
        <v>411</v>
      </c>
      <c r="T58" s="124" t="s">
        <v>412</v>
      </c>
      <c r="AE58">
        <f>(AE56-AE52)/20</f>
        <v>47.5</v>
      </c>
      <c r="AF58" t="s">
        <v>413</v>
      </c>
      <c r="AH58" s="119"/>
    </row>
    <row r="59" spans="2:35">
      <c r="B59" s="116"/>
      <c r="N59" s="123">
        <v>2025</v>
      </c>
      <c r="O59" s="124"/>
      <c r="P59" s="123">
        <v>2050</v>
      </c>
      <c r="Q59" s="123"/>
      <c r="R59" s="123"/>
      <c r="S59" s="123"/>
      <c r="T59" s="123">
        <v>2025</v>
      </c>
      <c r="U59" s="124"/>
      <c r="V59" s="123">
        <v>2050</v>
      </c>
      <c r="W59" s="123"/>
      <c r="AH59" s="119"/>
    </row>
    <row r="60" spans="2:35">
      <c r="B60" s="125" t="s">
        <v>414</v>
      </c>
      <c r="M60" t="s">
        <v>415</v>
      </c>
      <c r="N60">
        <f>AC49*2.5</f>
        <v>105</v>
      </c>
      <c r="P60">
        <f>AC53*2.5</f>
        <v>400</v>
      </c>
      <c r="T60" s="187">
        <f>AF49*2.5</f>
        <v>102.3780487804878</v>
      </c>
      <c r="U60" s="187"/>
      <c r="V60" s="187">
        <f>AF53*2.5</f>
        <v>378.04894179894183</v>
      </c>
      <c r="AH60" s="119"/>
    </row>
    <row r="61" spans="2:35">
      <c r="B61" s="116"/>
      <c r="C61" t="s">
        <v>416</v>
      </c>
      <c r="M61" t="s">
        <v>417</v>
      </c>
      <c r="N61">
        <f>AC50*2.5</f>
        <v>135</v>
      </c>
      <c r="P61">
        <f>AC54*2.5</f>
        <v>560</v>
      </c>
      <c r="T61" s="187">
        <f>AF50*2.5</f>
        <v>125.69767441860466</v>
      </c>
      <c r="U61" s="187"/>
      <c r="V61" s="187">
        <f>AF54*2.5</f>
        <v>498.55939716312065</v>
      </c>
      <c r="AH61" s="119"/>
    </row>
    <row r="62" spans="2:35">
      <c r="B62" s="116"/>
      <c r="C62" t="s">
        <v>418</v>
      </c>
      <c r="T62" s="187"/>
      <c r="U62" s="187"/>
      <c r="V62" s="187"/>
      <c r="AH62" s="119"/>
    </row>
    <row r="63" spans="2:35">
      <c r="B63" s="116"/>
      <c r="C63" t="s">
        <v>419</v>
      </c>
      <c r="T63" s="187"/>
      <c r="U63" s="187"/>
      <c r="V63" s="187"/>
      <c r="AH63" s="119"/>
    </row>
    <row r="64" spans="2:35">
      <c r="B64" s="116"/>
      <c r="T64" s="187"/>
      <c r="U64" s="187"/>
      <c r="V64" s="187"/>
      <c r="AH64" s="119"/>
    </row>
    <row r="65" spans="2:34">
      <c r="B65" s="116"/>
      <c r="T65" s="187"/>
      <c r="U65" s="187"/>
      <c r="V65" s="187"/>
      <c r="AH65" s="119"/>
    </row>
    <row r="66" spans="2:34">
      <c r="B66" s="125" t="s">
        <v>420</v>
      </c>
      <c r="N66">
        <f>AC52*5</f>
        <v>130</v>
      </c>
      <c r="P66">
        <f>AC56*5</f>
        <v>275</v>
      </c>
      <c r="T66" s="187">
        <f>AF52*5</f>
        <v>123.61882716049382</v>
      </c>
      <c r="U66" s="187"/>
      <c r="V66" s="187">
        <f>AF56*5</f>
        <v>275</v>
      </c>
      <c r="AH66" s="119"/>
    </row>
    <row r="67" spans="2:34">
      <c r="B67" s="116"/>
      <c r="C67" t="s">
        <v>421</v>
      </c>
      <c r="T67" s="187"/>
      <c r="U67" s="187"/>
      <c r="V67" s="187"/>
      <c r="AH67" s="119"/>
    </row>
    <row r="68" spans="2:34">
      <c r="B68" s="116"/>
      <c r="C68" t="s">
        <v>422</v>
      </c>
      <c r="T68" s="187"/>
      <c r="U68" s="187"/>
      <c r="V68" s="187"/>
      <c r="AH68" s="119"/>
    </row>
    <row r="69" spans="2:34">
      <c r="B69" s="116"/>
      <c r="C69" t="s">
        <v>423</v>
      </c>
      <c r="T69" s="187"/>
      <c r="U69" s="187"/>
      <c r="V69" s="187"/>
      <c r="AH69" s="119"/>
    </row>
    <row r="70" spans="2:34">
      <c r="B70" s="116"/>
      <c r="T70" s="187"/>
      <c r="U70" s="187"/>
      <c r="V70" s="187"/>
      <c r="AH70" s="119"/>
    </row>
    <row r="71" spans="2:34">
      <c r="B71" s="125" t="s">
        <v>424</v>
      </c>
      <c r="N71">
        <f>AC51*5</f>
        <v>75</v>
      </c>
      <c r="P71">
        <f>AC55*5</f>
        <v>160</v>
      </c>
      <c r="T71" s="187">
        <f>AF51*5</f>
        <v>75</v>
      </c>
      <c r="U71" s="187"/>
      <c r="V71" s="187">
        <f>AF55*5</f>
        <v>160</v>
      </c>
      <c r="AH71" s="119"/>
    </row>
    <row r="72" spans="2:34">
      <c r="B72" s="116"/>
      <c r="C72" t="s">
        <v>425</v>
      </c>
      <c r="T72" s="187"/>
      <c r="U72" s="187"/>
      <c r="V72" s="187"/>
      <c r="AH72" s="119"/>
    </row>
    <row r="73" spans="2:34">
      <c r="B73" s="116"/>
      <c r="C73" t="s">
        <v>426</v>
      </c>
      <c r="T73" s="187"/>
      <c r="U73" s="187"/>
      <c r="V73" s="187"/>
      <c r="AH73" s="119"/>
    </row>
    <row r="74" spans="2:34">
      <c r="B74" s="116"/>
      <c r="T74" s="187"/>
      <c r="U74" s="187"/>
      <c r="V74" s="187"/>
      <c r="AH74" s="119"/>
    </row>
    <row r="75" spans="2:34">
      <c r="B75" s="116"/>
      <c r="L75" s="124" t="s">
        <v>427</v>
      </c>
      <c r="M75" s="124"/>
      <c r="N75" s="124">
        <f>SUM(N60:N72)</f>
        <v>445</v>
      </c>
      <c r="O75" s="124" t="s">
        <v>383</v>
      </c>
      <c r="P75" s="124">
        <f>SUM(P60:P72)</f>
        <v>1395</v>
      </c>
      <c r="Q75" s="124" t="s">
        <v>383</v>
      </c>
      <c r="R75" s="124"/>
      <c r="S75" s="124"/>
      <c r="T75" s="188">
        <f>SUM(T60:T72)</f>
        <v>426.69455035958629</v>
      </c>
      <c r="U75" s="188" t="s">
        <v>383</v>
      </c>
      <c r="V75" s="188">
        <f>SUM(V60:V72)</f>
        <v>1311.6083389620626</v>
      </c>
      <c r="W75" s="124" t="s">
        <v>383</v>
      </c>
      <c r="AH75" s="119"/>
    </row>
    <row r="76" spans="2:34" ht="15.75" thickBot="1">
      <c r="B76" s="68"/>
      <c r="C76" s="69"/>
      <c r="D76" s="69"/>
      <c r="E76" s="69"/>
      <c r="F76" s="69"/>
      <c r="G76" s="69"/>
      <c r="H76" s="69"/>
      <c r="I76" s="69"/>
      <c r="J76" s="69"/>
      <c r="K76" s="69"/>
      <c r="L76" s="69"/>
      <c r="M76" s="69"/>
      <c r="N76" s="69"/>
      <c r="O76" s="69"/>
      <c r="P76" s="69"/>
      <c r="Q76" s="69"/>
      <c r="R76" s="69"/>
      <c r="S76" s="69"/>
      <c r="T76" s="69"/>
      <c r="U76" s="69"/>
      <c r="V76" s="69"/>
      <c r="W76" s="69"/>
      <c r="X76" s="69"/>
      <c r="Y76" s="69"/>
      <c r="Z76" s="69"/>
      <c r="AA76" s="69"/>
      <c r="AB76" s="69"/>
      <c r="AC76" s="69"/>
      <c r="AD76" s="69"/>
      <c r="AE76" s="69"/>
      <c r="AF76" s="69"/>
      <c r="AG76" s="69"/>
      <c r="AH76" s="122"/>
    </row>
    <row r="80" spans="2:34" ht="15.75" thickBot="1"/>
    <row r="81" spans="5:10" ht="15.75" thickBot="1">
      <c r="E81" s="622" t="s">
        <v>428</v>
      </c>
      <c r="F81" s="623"/>
      <c r="G81" s="623"/>
      <c r="H81" s="623"/>
      <c r="I81" s="623"/>
      <c r="J81" s="624"/>
    </row>
    <row r="82" spans="5:10" ht="15.75" thickBot="1">
      <c r="E82" s="625">
        <v>2025</v>
      </c>
      <c r="F82" s="626"/>
      <c r="G82" s="626"/>
      <c r="H82" s="626"/>
      <c r="I82" s="626"/>
      <c r="J82" s="627"/>
    </row>
    <row r="83" spans="5:10">
      <c r="E83" s="14"/>
      <c r="F83" s="15"/>
      <c r="G83" s="129">
        <f>F40</f>
        <v>423.47930029648865</v>
      </c>
      <c r="H83" s="615" t="s">
        <v>429</v>
      </c>
      <c r="I83" s="615"/>
      <c r="J83" s="615"/>
    </row>
    <row r="84" spans="5:10">
      <c r="E84" s="189"/>
      <c r="F84" s="190"/>
      <c r="G84" s="191">
        <f>G83*365</f>
        <v>154569.94460821836</v>
      </c>
      <c r="H84" s="620" t="s">
        <v>430</v>
      </c>
      <c r="I84" s="620"/>
      <c r="J84" s="621"/>
    </row>
    <row r="85" spans="5:10">
      <c r="E85" s="14"/>
      <c r="F85" s="15"/>
      <c r="G85" s="129">
        <f>T75</f>
        <v>426.69455035958629</v>
      </c>
      <c r="H85" s="615" t="s">
        <v>431</v>
      </c>
      <c r="I85" s="615"/>
      <c r="J85" s="615"/>
    </row>
    <row r="86" spans="5:10" ht="15.75" thickBot="1">
      <c r="E86" s="14"/>
      <c r="F86" s="15"/>
      <c r="G86" s="129">
        <f>G85*365</f>
        <v>155743.51088124901</v>
      </c>
      <c r="H86" s="616" t="s">
        <v>432</v>
      </c>
      <c r="I86" s="616"/>
      <c r="J86" s="615"/>
    </row>
    <row r="87" spans="5:10" ht="15.75" thickBot="1">
      <c r="E87" s="628" t="s">
        <v>433</v>
      </c>
      <c r="F87" s="629"/>
      <c r="G87" s="629"/>
      <c r="H87" s="629"/>
      <c r="I87" s="629"/>
      <c r="J87" s="630"/>
    </row>
    <row r="88" spans="5:10">
      <c r="E88" s="14"/>
      <c r="F88" s="15"/>
      <c r="G88" s="129">
        <f>Z40</f>
        <v>2301.7837114172289</v>
      </c>
      <c r="H88" s="615" t="s">
        <v>429</v>
      </c>
      <c r="I88" s="615"/>
      <c r="J88" s="615"/>
    </row>
    <row r="89" spans="5:10">
      <c r="E89" s="189"/>
      <c r="F89" s="190"/>
      <c r="G89" s="191">
        <f>G88*365</f>
        <v>840151.05466728855</v>
      </c>
      <c r="H89" s="620" t="s">
        <v>430</v>
      </c>
      <c r="I89" s="620"/>
      <c r="J89" s="621"/>
    </row>
    <row r="90" spans="5:10">
      <c r="E90" s="14"/>
      <c r="F90" s="15"/>
      <c r="G90" s="129">
        <f>V75</f>
        <v>1311.6083389620626</v>
      </c>
      <c r="H90" s="615" t="s">
        <v>431</v>
      </c>
      <c r="I90" s="615"/>
      <c r="J90" s="615"/>
    </row>
    <row r="91" spans="5:10" ht="15.75" thickBot="1">
      <c r="E91" s="14"/>
      <c r="F91" s="15"/>
      <c r="G91" s="129">
        <f>G90*365</f>
        <v>478737.04372115282</v>
      </c>
      <c r="H91" s="616" t="s">
        <v>432</v>
      </c>
      <c r="I91" s="616"/>
      <c r="J91" s="615"/>
    </row>
    <row r="92" spans="5:10" ht="15.75" thickBot="1">
      <c r="E92" s="622" t="s">
        <v>434</v>
      </c>
      <c r="F92" s="623"/>
      <c r="G92" s="623"/>
      <c r="H92" s="623"/>
      <c r="I92" s="623"/>
      <c r="J92" s="624"/>
    </row>
    <row r="93" spans="5:10" ht="15.75" thickBot="1">
      <c r="E93" s="647">
        <f>(G89-G84)/(2050-2025)</f>
        <v>27423.244402362805</v>
      </c>
      <c r="F93" s="648"/>
      <c r="G93" s="648"/>
      <c r="H93" s="648"/>
      <c r="I93" s="648"/>
      <c r="J93" s="649"/>
    </row>
    <row r="94" spans="5:10" ht="15.75" thickBot="1">
      <c r="E94" s="622" t="s">
        <v>435</v>
      </c>
      <c r="F94" s="623"/>
      <c r="G94" s="623"/>
      <c r="H94" s="623"/>
      <c r="I94" s="623"/>
      <c r="J94" s="624"/>
    </row>
    <row r="95" spans="5:10" ht="15.75" thickBot="1">
      <c r="E95" s="647">
        <f>(G91-G86)/(2050-2025)</f>
        <v>12919.741313596154</v>
      </c>
      <c r="F95" s="648"/>
      <c r="G95" s="648"/>
      <c r="H95" s="648"/>
      <c r="I95" s="648"/>
      <c r="J95" s="649"/>
    </row>
    <row r="96" spans="5:10" ht="15" customHeight="1">
      <c r="E96" s="650" t="s">
        <v>436</v>
      </c>
      <c r="F96" s="650"/>
      <c r="G96" s="650"/>
      <c r="H96" s="650"/>
      <c r="I96" s="650"/>
      <c r="J96" s="650"/>
    </row>
    <row r="99" spans="5:11" ht="15.75" thickBot="1"/>
    <row r="100" spans="5:11" ht="16.5" thickBot="1">
      <c r="E100" s="586" t="s">
        <v>437</v>
      </c>
      <c r="F100" s="587"/>
      <c r="G100" s="587"/>
      <c r="H100" s="587"/>
      <c r="I100" s="587"/>
      <c r="J100" s="587"/>
      <c r="K100" s="576"/>
    </row>
    <row r="101" spans="5:11" ht="16.5">
      <c r="E101" s="141"/>
      <c r="F101" s="642" t="s">
        <v>389</v>
      </c>
      <c r="G101" s="643"/>
      <c r="H101" s="644" t="s">
        <v>438</v>
      </c>
      <c r="I101" s="643"/>
      <c r="J101" s="645" t="s">
        <v>439</v>
      </c>
      <c r="K101" s="646"/>
    </row>
    <row r="102" spans="5:11" ht="16.5">
      <c r="E102" s="141"/>
      <c r="F102" s="145" t="s">
        <v>440</v>
      </c>
      <c r="G102" s="162" t="s">
        <v>441</v>
      </c>
      <c r="H102" s="163" t="s">
        <v>442</v>
      </c>
      <c r="I102" s="162" t="s">
        <v>443</v>
      </c>
      <c r="J102" s="145" t="s">
        <v>442</v>
      </c>
      <c r="K102" s="146" t="s">
        <v>443</v>
      </c>
    </row>
    <row r="103" spans="5:11" ht="16.5">
      <c r="E103" s="142">
        <v>2022</v>
      </c>
      <c r="F103" s="147">
        <v>23139</v>
      </c>
      <c r="G103" s="148">
        <v>28640</v>
      </c>
      <c r="H103" s="149">
        <v>25576</v>
      </c>
      <c r="I103" s="148">
        <v>24834</v>
      </c>
      <c r="J103" s="147">
        <v>23093</v>
      </c>
      <c r="K103" s="150">
        <v>22740</v>
      </c>
    </row>
    <row r="104" spans="5:11" ht="16.5">
      <c r="E104" s="144">
        <v>2025</v>
      </c>
      <c r="F104" s="151">
        <v>23664</v>
      </c>
      <c r="G104" s="152">
        <v>29289</v>
      </c>
      <c r="H104" s="153">
        <v>26156</v>
      </c>
      <c r="I104" s="152">
        <v>25397</v>
      </c>
      <c r="J104" s="151">
        <v>23616</v>
      </c>
      <c r="K104" s="154">
        <v>23255</v>
      </c>
    </row>
    <row r="105" spans="5:11" ht="17.25" thickBot="1">
      <c r="E105" s="143">
        <v>2052</v>
      </c>
      <c r="F105" s="155">
        <v>28953</v>
      </c>
      <c r="G105" s="156">
        <v>35836</v>
      </c>
      <c r="H105" s="157">
        <v>32003</v>
      </c>
      <c r="I105" s="156">
        <v>31074</v>
      </c>
      <c r="J105" s="155">
        <v>28896</v>
      </c>
      <c r="K105" s="158">
        <v>28454</v>
      </c>
    </row>
    <row r="107" spans="5:11">
      <c r="H107" s="159"/>
    </row>
    <row r="108" spans="5:11">
      <c r="H108" s="159"/>
    </row>
    <row r="109" spans="5:11">
      <c r="H109" s="159"/>
    </row>
  </sheetData>
  <mergeCells count="43">
    <mergeCell ref="F101:G101"/>
    <mergeCell ref="E100:K100"/>
    <mergeCell ref="H101:I101"/>
    <mergeCell ref="J101:K101"/>
    <mergeCell ref="E92:J92"/>
    <mergeCell ref="E93:J93"/>
    <mergeCell ref="E96:J96"/>
    <mergeCell ref="E94:J94"/>
    <mergeCell ref="E95:J95"/>
    <mergeCell ref="V2:AO2"/>
    <mergeCell ref="B49:B52"/>
    <mergeCell ref="B2:S2"/>
    <mergeCell ref="W3:AD3"/>
    <mergeCell ref="AF3:AM3"/>
    <mergeCell ref="W4:W5"/>
    <mergeCell ref="X4:Z4"/>
    <mergeCell ref="AB4:AD4"/>
    <mergeCell ref="AF4:AF5"/>
    <mergeCell ref="AG4:AI4"/>
    <mergeCell ref="AK4:AM4"/>
    <mergeCell ref="C3:J3"/>
    <mergeCell ref="L3:S3"/>
    <mergeCell ref="C4:C5"/>
    <mergeCell ref="D45:N45"/>
    <mergeCell ref="D4:F4"/>
    <mergeCell ref="H4:J4"/>
    <mergeCell ref="L4:L5"/>
    <mergeCell ref="M4:O4"/>
    <mergeCell ref="P45:Z45"/>
    <mergeCell ref="B44:AH44"/>
    <mergeCell ref="Q4:S4"/>
    <mergeCell ref="H85:J85"/>
    <mergeCell ref="H86:J86"/>
    <mergeCell ref="H90:J90"/>
    <mergeCell ref="H91:J91"/>
    <mergeCell ref="B53:B56"/>
    <mergeCell ref="H88:J88"/>
    <mergeCell ref="H89:J89"/>
    <mergeCell ref="E81:J81"/>
    <mergeCell ref="E82:J82"/>
    <mergeCell ref="E87:J87"/>
    <mergeCell ref="H83:J83"/>
    <mergeCell ref="H84:J84"/>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902A9-CDCC-4A79-8047-AD348AAF65A2}">
  <sheetPr>
    <tabColor rgb="FFCCEEFC"/>
  </sheetPr>
  <dimension ref="A1:AI66"/>
  <sheetViews>
    <sheetView showGridLines="0" topLeftCell="A4" zoomScale="70" zoomScaleNormal="70" workbookViewId="0">
      <selection activeCell="G33" sqref="G33:AH36"/>
    </sheetView>
  </sheetViews>
  <sheetFormatPr defaultColWidth="9.140625" defaultRowHeight="12.75"/>
  <cols>
    <col min="1" max="1" width="10.7109375" style="16" customWidth="1"/>
    <col min="2" max="2" width="15.7109375" style="17" customWidth="1"/>
    <col min="3" max="3" width="30.7109375" style="16" customWidth="1"/>
    <col min="4" max="6" width="9.140625" style="16" customWidth="1"/>
    <col min="7" max="35" width="9.140625" style="17"/>
    <col min="36" max="16384" width="9.140625" style="16"/>
  </cols>
  <sheetData>
    <row r="1" spans="1:35">
      <c r="B1" s="16"/>
    </row>
    <row r="2" spans="1:35">
      <c r="B2" s="16"/>
      <c r="G2" s="18">
        <v>1</v>
      </c>
      <c r="H2" s="18">
        <v>2</v>
      </c>
      <c r="I2" s="18">
        <v>3</v>
      </c>
      <c r="J2" s="18">
        <v>4</v>
      </c>
      <c r="K2" s="18">
        <v>5</v>
      </c>
      <c r="L2" s="18">
        <v>6</v>
      </c>
      <c r="M2" s="18">
        <v>7</v>
      </c>
      <c r="N2" s="18">
        <v>8</v>
      </c>
      <c r="O2" s="18">
        <v>9</v>
      </c>
      <c r="P2" s="18">
        <v>10</v>
      </c>
      <c r="Q2" s="18">
        <v>11</v>
      </c>
      <c r="R2" s="18">
        <v>12</v>
      </c>
      <c r="S2" s="18">
        <v>13</v>
      </c>
      <c r="T2" s="18">
        <v>14</v>
      </c>
      <c r="U2" s="18">
        <v>15</v>
      </c>
      <c r="V2" s="18">
        <v>16</v>
      </c>
      <c r="W2" s="18">
        <v>17</v>
      </c>
      <c r="X2" s="18">
        <v>18</v>
      </c>
      <c r="Y2" s="18">
        <v>19</v>
      </c>
      <c r="Z2" s="18">
        <v>20</v>
      </c>
      <c r="AA2" s="18">
        <v>21</v>
      </c>
      <c r="AB2" s="18">
        <v>22</v>
      </c>
      <c r="AC2" s="18">
        <v>23</v>
      </c>
      <c r="AD2" s="18">
        <v>24</v>
      </c>
      <c r="AE2" s="18">
        <v>25</v>
      </c>
      <c r="AF2" s="18">
        <v>26</v>
      </c>
      <c r="AG2" s="18">
        <v>27</v>
      </c>
      <c r="AH2" s="18">
        <v>28</v>
      </c>
    </row>
    <row r="3" spans="1:35" ht="13.5" thickBot="1">
      <c r="A3" s="416"/>
      <c r="B3" s="417" t="s">
        <v>444</v>
      </c>
      <c r="D3" s="17">
        <v>2022</v>
      </c>
      <c r="E3" s="17">
        <v>2023</v>
      </c>
      <c r="F3" s="17">
        <v>2024</v>
      </c>
      <c r="G3" s="17">
        <v>2025</v>
      </c>
      <c r="H3" s="17">
        <f t="shared" ref="H3:AH3" si="0">G3+1</f>
        <v>2026</v>
      </c>
      <c r="I3" s="17">
        <f t="shared" si="0"/>
        <v>2027</v>
      </c>
      <c r="J3" s="17">
        <f t="shared" si="0"/>
        <v>2028</v>
      </c>
      <c r="K3" s="17">
        <f t="shared" si="0"/>
        <v>2029</v>
      </c>
      <c r="L3" s="17">
        <f t="shared" si="0"/>
        <v>2030</v>
      </c>
      <c r="M3" s="17">
        <f t="shared" si="0"/>
        <v>2031</v>
      </c>
      <c r="N3" s="17">
        <f t="shared" si="0"/>
        <v>2032</v>
      </c>
      <c r="O3" s="17">
        <f t="shared" si="0"/>
        <v>2033</v>
      </c>
      <c r="P3" s="17">
        <f t="shared" si="0"/>
        <v>2034</v>
      </c>
      <c r="Q3" s="17">
        <f t="shared" si="0"/>
        <v>2035</v>
      </c>
      <c r="R3" s="17">
        <f t="shared" si="0"/>
        <v>2036</v>
      </c>
      <c r="S3" s="17">
        <f t="shared" si="0"/>
        <v>2037</v>
      </c>
      <c r="T3" s="17">
        <f t="shared" si="0"/>
        <v>2038</v>
      </c>
      <c r="U3" s="17">
        <f t="shared" si="0"/>
        <v>2039</v>
      </c>
      <c r="V3" s="17">
        <f t="shared" si="0"/>
        <v>2040</v>
      </c>
      <c r="W3" s="17">
        <f t="shared" si="0"/>
        <v>2041</v>
      </c>
      <c r="X3" s="17">
        <f t="shared" si="0"/>
        <v>2042</v>
      </c>
      <c r="Y3" s="17">
        <f t="shared" si="0"/>
        <v>2043</v>
      </c>
      <c r="Z3" s="17">
        <f t="shared" si="0"/>
        <v>2044</v>
      </c>
      <c r="AA3" s="17">
        <f t="shared" si="0"/>
        <v>2045</v>
      </c>
      <c r="AB3" s="17">
        <f t="shared" si="0"/>
        <v>2046</v>
      </c>
      <c r="AC3" s="17">
        <f t="shared" si="0"/>
        <v>2047</v>
      </c>
      <c r="AD3" s="17">
        <f t="shared" si="0"/>
        <v>2048</v>
      </c>
      <c r="AE3" s="17">
        <f t="shared" si="0"/>
        <v>2049</v>
      </c>
      <c r="AF3" s="17">
        <f t="shared" si="0"/>
        <v>2050</v>
      </c>
      <c r="AG3" s="17">
        <f t="shared" si="0"/>
        <v>2051</v>
      </c>
      <c r="AH3" s="17">
        <f t="shared" si="0"/>
        <v>2052</v>
      </c>
      <c r="AI3" s="19" t="s">
        <v>445</v>
      </c>
    </row>
    <row r="4" spans="1:35" ht="15" customHeight="1">
      <c r="A4" s="657" t="s">
        <v>446</v>
      </c>
      <c r="B4" s="657" t="s">
        <v>447</v>
      </c>
      <c r="C4" s="20" t="s">
        <v>77</v>
      </c>
      <c r="D4" s="21">
        <f t="shared" ref="D4:J7" si="1">ROUND((($AF4-$L4)/($AF$3-$L$3))*(D$3-$L$3)+$L4,1)</f>
        <v>0.5</v>
      </c>
      <c r="E4" s="21">
        <f t="shared" si="1"/>
        <v>0.5</v>
      </c>
      <c r="F4" s="21">
        <f t="shared" si="1"/>
        <v>0.5</v>
      </c>
      <c r="G4" s="21">
        <f t="shared" si="1"/>
        <v>0.5</v>
      </c>
      <c r="H4" s="21">
        <f t="shared" si="1"/>
        <v>0.5</v>
      </c>
      <c r="I4" s="21">
        <f t="shared" si="1"/>
        <v>0.5</v>
      </c>
      <c r="J4" s="21">
        <f t="shared" si="1"/>
        <v>0.5</v>
      </c>
      <c r="K4" s="21">
        <f>ROUND((($AF4-$L4)/($AF$3-$L$3))*(K$3-$L$3)+$L4,1)</f>
        <v>0.5</v>
      </c>
      <c r="L4" s="21">
        <v>0.5</v>
      </c>
      <c r="M4" s="21">
        <f t="shared" ref="M4:AB7" si="2">ROUND((($AF4-$L4)/($AF$3-$L$3))*(M$3-$L$3)+$L4,1)</f>
        <v>0.5</v>
      </c>
      <c r="N4" s="21">
        <f t="shared" si="2"/>
        <v>0.5</v>
      </c>
      <c r="O4" s="21">
        <f t="shared" si="2"/>
        <v>0.5</v>
      </c>
      <c r="P4" s="21">
        <f t="shared" si="2"/>
        <v>0.5</v>
      </c>
      <c r="Q4" s="21">
        <f t="shared" si="2"/>
        <v>0.5</v>
      </c>
      <c r="R4" s="21">
        <f t="shared" si="2"/>
        <v>0.5</v>
      </c>
      <c r="S4" s="21">
        <f t="shared" si="2"/>
        <v>0.5</v>
      </c>
      <c r="T4" s="21">
        <f t="shared" si="2"/>
        <v>0.5</v>
      </c>
      <c r="U4" s="21">
        <f t="shared" si="2"/>
        <v>0.5</v>
      </c>
      <c r="V4" s="21">
        <f t="shared" si="2"/>
        <v>0.6</v>
      </c>
      <c r="W4" s="21">
        <f t="shared" si="2"/>
        <v>0.6</v>
      </c>
      <c r="X4" s="21">
        <f t="shared" si="2"/>
        <v>0.6</v>
      </c>
      <c r="Y4" s="21">
        <f t="shared" si="2"/>
        <v>0.6</v>
      </c>
      <c r="Z4" s="21">
        <f t="shared" si="2"/>
        <v>0.6</v>
      </c>
      <c r="AA4" s="21">
        <f t="shared" si="2"/>
        <v>0.6</v>
      </c>
      <c r="AB4" s="21">
        <f t="shared" si="2"/>
        <v>0.6</v>
      </c>
      <c r="AC4" s="21">
        <f t="shared" ref="AC4:AH7" si="3">ROUND((($AF4-$L4)/($AF$3-$L$3))*(AC$3-$L$3)+$L4,1)</f>
        <v>0.6</v>
      </c>
      <c r="AD4" s="21">
        <f t="shared" si="3"/>
        <v>0.6</v>
      </c>
      <c r="AE4" s="21">
        <f t="shared" si="3"/>
        <v>0.6</v>
      </c>
      <c r="AF4" s="21">
        <v>0.6</v>
      </c>
      <c r="AG4" s="21">
        <f t="shared" si="3"/>
        <v>0.6</v>
      </c>
      <c r="AH4" s="21">
        <f t="shared" si="3"/>
        <v>0.6</v>
      </c>
      <c r="AI4" s="418">
        <f>SUM(G4:AH4)</f>
        <v>15.299999999999995</v>
      </c>
    </row>
    <row r="5" spans="1:35">
      <c r="A5" s="658"/>
      <c r="B5" s="658"/>
      <c r="C5" s="22" t="s">
        <v>78</v>
      </c>
      <c r="D5" s="23">
        <f t="shared" si="1"/>
        <v>1.2</v>
      </c>
      <c r="E5" s="23">
        <f t="shared" si="1"/>
        <v>1.2</v>
      </c>
      <c r="F5" s="23">
        <f t="shared" si="1"/>
        <v>1.2</v>
      </c>
      <c r="G5" s="23">
        <f t="shared" si="1"/>
        <v>1.2</v>
      </c>
      <c r="H5" s="23">
        <f t="shared" si="1"/>
        <v>1.2</v>
      </c>
      <c r="I5" s="23">
        <f t="shared" si="1"/>
        <v>1.3</v>
      </c>
      <c r="J5" s="23">
        <f t="shared" si="1"/>
        <v>1.3</v>
      </c>
      <c r="K5" s="23">
        <f>ROUND((($AF5-$L5)/($AF$3-$L$3))*(K$3-$L$3)+$L5,1)</f>
        <v>1.3</v>
      </c>
      <c r="L5" s="23">
        <v>1.3</v>
      </c>
      <c r="M5" s="23">
        <f t="shared" si="2"/>
        <v>1.3</v>
      </c>
      <c r="N5" s="23">
        <f t="shared" si="2"/>
        <v>1.3</v>
      </c>
      <c r="O5" s="23">
        <f t="shared" si="2"/>
        <v>1.3</v>
      </c>
      <c r="P5" s="23">
        <f t="shared" si="2"/>
        <v>1.4</v>
      </c>
      <c r="Q5" s="23">
        <f t="shared" si="2"/>
        <v>1.4</v>
      </c>
      <c r="R5" s="23">
        <f t="shared" si="2"/>
        <v>1.4</v>
      </c>
      <c r="S5" s="23">
        <f t="shared" si="2"/>
        <v>1.4</v>
      </c>
      <c r="T5" s="23">
        <f t="shared" si="2"/>
        <v>1.4</v>
      </c>
      <c r="U5" s="23">
        <f t="shared" si="2"/>
        <v>1.4</v>
      </c>
      <c r="V5" s="23">
        <f t="shared" si="2"/>
        <v>1.5</v>
      </c>
      <c r="W5" s="23">
        <f t="shared" si="2"/>
        <v>1.5</v>
      </c>
      <c r="X5" s="23">
        <f t="shared" si="2"/>
        <v>1.5</v>
      </c>
      <c r="Y5" s="23">
        <f t="shared" si="2"/>
        <v>1.5</v>
      </c>
      <c r="Z5" s="23">
        <f t="shared" si="2"/>
        <v>1.5</v>
      </c>
      <c r="AA5" s="23">
        <f t="shared" si="2"/>
        <v>1.5</v>
      </c>
      <c r="AB5" s="23">
        <f t="shared" si="2"/>
        <v>1.5</v>
      </c>
      <c r="AC5" s="23">
        <f t="shared" si="3"/>
        <v>1.6</v>
      </c>
      <c r="AD5" s="23">
        <f t="shared" si="3"/>
        <v>1.6</v>
      </c>
      <c r="AE5" s="23">
        <f t="shared" si="3"/>
        <v>1.6</v>
      </c>
      <c r="AF5" s="23">
        <v>1.6</v>
      </c>
      <c r="AG5" s="23">
        <f t="shared" si="3"/>
        <v>1.6</v>
      </c>
      <c r="AH5" s="23">
        <f t="shared" si="3"/>
        <v>1.6</v>
      </c>
      <c r="AI5" s="419">
        <f>SUM(G5:AH5)</f>
        <v>40.000000000000007</v>
      </c>
    </row>
    <row r="6" spans="1:35">
      <c r="A6" s="658"/>
      <c r="B6" s="658"/>
      <c r="C6" s="22" t="s">
        <v>79</v>
      </c>
      <c r="D6" s="23">
        <f t="shared" si="1"/>
        <v>24.1</v>
      </c>
      <c r="E6" s="23">
        <f t="shared" si="1"/>
        <v>24.4</v>
      </c>
      <c r="F6" s="23">
        <f t="shared" si="1"/>
        <v>24.7</v>
      </c>
      <c r="G6" s="23">
        <f t="shared" si="1"/>
        <v>25.1</v>
      </c>
      <c r="H6" s="23">
        <f t="shared" si="1"/>
        <v>25.4</v>
      </c>
      <c r="I6" s="23">
        <f t="shared" si="1"/>
        <v>25.7</v>
      </c>
      <c r="J6" s="23">
        <f t="shared" si="1"/>
        <v>26</v>
      </c>
      <c r="K6" s="23">
        <f>ROUND((($AF6-$L6)/($AF$3-$L$3))*(K$3-$L$3)+$L6,1)</f>
        <v>26.3</v>
      </c>
      <c r="L6" s="23">
        <f>7.4+19.2</f>
        <v>26.6</v>
      </c>
      <c r="M6" s="23">
        <f t="shared" si="2"/>
        <v>26.9</v>
      </c>
      <c r="N6" s="23">
        <f t="shared" si="2"/>
        <v>27.2</v>
      </c>
      <c r="O6" s="23">
        <f t="shared" si="2"/>
        <v>27.5</v>
      </c>
      <c r="P6" s="23">
        <f t="shared" si="2"/>
        <v>27.8</v>
      </c>
      <c r="Q6" s="23">
        <f t="shared" si="2"/>
        <v>28.2</v>
      </c>
      <c r="R6" s="23">
        <f t="shared" si="2"/>
        <v>28.5</v>
      </c>
      <c r="S6" s="23">
        <f t="shared" si="2"/>
        <v>28.8</v>
      </c>
      <c r="T6" s="23">
        <f t="shared" si="2"/>
        <v>29.1</v>
      </c>
      <c r="U6" s="23">
        <f t="shared" si="2"/>
        <v>29.4</v>
      </c>
      <c r="V6" s="23">
        <f t="shared" si="2"/>
        <v>29.7</v>
      </c>
      <c r="W6" s="23">
        <f t="shared" si="2"/>
        <v>30</v>
      </c>
      <c r="X6" s="23">
        <f t="shared" si="2"/>
        <v>30.3</v>
      </c>
      <c r="Y6" s="23">
        <f t="shared" si="2"/>
        <v>30.6</v>
      </c>
      <c r="Z6" s="23">
        <f t="shared" si="2"/>
        <v>30.9</v>
      </c>
      <c r="AA6" s="23">
        <f t="shared" si="2"/>
        <v>31.3</v>
      </c>
      <c r="AB6" s="23">
        <f t="shared" si="2"/>
        <v>31.6</v>
      </c>
      <c r="AC6" s="23">
        <f t="shared" si="3"/>
        <v>31.9</v>
      </c>
      <c r="AD6" s="23">
        <f t="shared" si="3"/>
        <v>32.200000000000003</v>
      </c>
      <c r="AE6" s="23">
        <f t="shared" si="3"/>
        <v>32.5</v>
      </c>
      <c r="AF6" s="23">
        <f>9.1+23.7</f>
        <v>32.799999999999997</v>
      </c>
      <c r="AG6" s="23">
        <f t="shared" si="3"/>
        <v>33.1</v>
      </c>
      <c r="AH6" s="23">
        <f t="shared" si="3"/>
        <v>33.4</v>
      </c>
      <c r="AI6" s="419">
        <f>SUM(G6:AH6)</f>
        <v>818.8</v>
      </c>
    </row>
    <row r="7" spans="1:35">
      <c r="A7" s="659"/>
      <c r="B7" s="659"/>
      <c r="C7" s="24" t="s">
        <v>448</v>
      </c>
      <c r="D7" s="25">
        <f t="shared" si="1"/>
        <v>65.2</v>
      </c>
      <c r="E7" s="25">
        <f t="shared" si="1"/>
        <v>66.3</v>
      </c>
      <c r="F7" s="25">
        <f t="shared" si="1"/>
        <v>67.3</v>
      </c>
      <c r="G7" s="25">
        <f t="shared" si="1"/>
        <v>68.3</v>
      </c>
      <c r="H7" s="25">
        <f t="shared" si="1"/>
        <v>69.3</v>
      </c>
      <c r="I7" s="25">
        <f t="shared" si="1"/>
        <v>70.3</v>
      </c>
      <c r="J7" s="25">
        <f t="shared" si="1"/>
        <v>71.400000000000006</v>
      </c>
      <c r="K7" s="25">
        <f>ROUND((($AF7-$L7)/($AF$3-$L$3))*(K$3-$L$3)+$L7,1)</f>
        <v>72.400000000000006</v>
      </c>
      <c r="L7" s="25">
        <v>73.400000000000006</v>
      </c>
      <c r="M7" s="25">
        <f t="shared" si="2"/>
        <v>74.400000000000006</v>
      </c>
      <c r="N7" s="25">
        <f t="shared" si="2"/>
        <v>75.400000000000006</v>
      </c>
      <c r="O7" s="25">
        <f t="shared" si="2"/>
        <v>76.5</v>
      </c>
      <c r="P7" s="25">
        <f t="shared" si="2"/>
        <v>77.5</v>
      </c>
      <c r="Q7" s="25">
        <f t="shared" si="2"/>
        <v>78.5</v>
      </c>
      <c r="R7" s="25">
        <f t="shared" si="2"/>
        <v>79.5</v>
      </c>
      <c r="S7" s="25">
        <f t="shared" si="2"/>
        <v>80.5</v>
      </c>
      <c r="T7" s="25">
        <f t="shared" si="2"/>
        <v>81.599999999999994</v>
      </c>
      <c r="U7" s="25">
        <f t="shared" si="2"/>
        <v>82.6</v>
      </c>
      <c r="V7" s="25">
        <f t="shared" si="2"/>
        <v>83.6</v>
      </c>
      <c r="W7" s="25">
        <f t="shared" si="2"/>
        <v>84.6</v>
      </c>
      <c r="X7" s="25">
        <f t="shared" si="2"/>
        <v>85.6</v>
      </c>
      <c r="Y7" s="25">
        <f t="shared" si="2"/>
        <v>86.7</v>
      </c>
      <c r="Z7" s="25">
        <f t="shared" si="2"/>
        <v>87.7</v>
      </c>
      <c r="AA7" s="25">
        <f t="shared" si="2"/>
        <v>88.7</v>
      </c>
      <c r="AB7" s="25">
        <f t="shared" si="2"/>
        <v>89.7</v>
      </c>
      <c r="AC7" s="25">
        <f t="shared" si="3"/>
        <v>90.7</v>
      </c>
      <c r="AD7" s="25">
        <f t="shared" si="3"/>
        <v>91.8</v>
      </c>
      <c r="AE7" s="25">
        <f t="shared" si="3"/>
        <v>92.8</v>
      </c>
      <c r="AF7" s="25">
        <v>93.8</v>
      </c>
      <c r="AG7" s="25">
        <f t="shared" si="3"/>
        <v>94.8</v>
      </c>
      <c r="AH7" s="25">
        <f t="shared" si="3"/>
        <v>95.8</v>
      </c>
      <c r="AI7" s="420">
        <f>SUM(G7:AH7)</f>
        <v>2297.9</v>
      </c>
    </row>
    <row r="8" spans="1:35" ht="13.5" thickBot="1">
      <c r="C8" s="22" t="s">
        <v>449</v>
      </c>
      <c r="D8" s="22"/>
      <c r="E8" s="22"/>
      <c r="F8" s="22"/>
      <c r="AI8" s="421">
        <f>SUM(AI4:AI7)</f>
        <v>3172</v>
      </c>
    </row>
    <row r="9" spans="1:35">
      <c r="G9" s="18">
        <v>1</v>
      </c>
      <c r="H9" s="18">
        <v>2</v>
      </c>
      <c r="I9" s="18">
        <v>3</v>
      </c>
      <c r="J9" s="18">
        <v>4</v>
      </c>
      <c r="K9" s="18">
        <v>5</v>
      </c>
      <c r="L9" s="18">
        <v>6</v>
      </c>
      <c r="M9" s="18">
        <v>7</v>
      </c>
      <c r="N9" s="18">
        <v>8</v>
      </c>
      <c r="O9" s="18">
        <v>9</v>
      </c>
      <c r="P9" s="18">
        <v>10</v>
      </c>
      <c r="Q9" s="18">
        <v>11</v>
      </c>
      <c r="R9" s="18">
        <v>12</v>
      </c>
      <c r="S9" s="18">
        <v>13</v>
      </c>
      <c r="T9" s="18">
        <v>14</v>
      </c>
      <c r="U9" s="18">
        <v>15</v>
      </c>
      <c r="V9" s="18">
        <v>16</v>
      </c>
      <c r="W9" s="18">
        <v>17</v>
      </c>
      <c r="X9" s="18">
        <v>18</v>
      </c>
      <c r="Y9" s="18">
        <v>19</v>
      </c>
      <c r="Z9" s="18">
        <v>20</v>
      </c>
      <c r="AA9" s="18">
        <v>21</v>
      </c>
      <c r="AB9" s="18">
        <v>22</v>
      </c>
      <c r="AC9" s="18">
        <v>23</v>
      </c>
      <c r="AD9" s="18">
        <v>24</v>
      </c>
      <c r="AE9" s="18">
        <v>25</v>
      </c>
      <c r="AF9" s="18">
        <v>26</v>
      </c>
      <c r="AG9" s="18">
        <v>27</v>
      </c>
      <c r="AH9" s="18">
        <v>28</v>
      </c>
      <c r="AI9" s="19"/>
    </row>
    <row r="10" spans="1:35" ht="13.5" thickBot="1">
      <c r="D10" s="17">
        <v>2022</v>
      </c>
      <c r="E10" s="17">
        <v>2023</v>
      </c>
      <c r="F10" s="17">
        <v>2024</v>
      </c>
      <c r="G10" s="17">
        <f t="shared" ref="G10:AH10" si="4">G$3</f>
        <v>2025</v>
      </c>
      <c r="H10" s="17">
        <f t="shared" si="4"/>
        <v>2026</v>
      </c>
      <c r="I10" s="17">
        <f t="shared" si="4"/>
        <v>2027</v>
      </c>
      <c r="J10" s="17">
        <f t="shared" si="4"/>
        <v>2028</v>
      </c>
      <c r="K10" s="17">
        <f t="shared" si="4"/>
        <v>2029</v>
      </c>
      <c r="L10" s="17">
        <f t="shared" si="4"/>
        <v>2030</v>
      </c>
      <c r="M10" s="17">
        <f t="shared" si="4"/>
        <v>2031</v>
      </c>
      <c r="N10" s="17">
        <f t="shared" si="4"/>
        <v>2032</v>
      </c>
      <c r="O10" s="17">
        <f t="shared" si="4"/>
        <v>2033</v>
      </c>
      <c r="P10" s="17">
        <f t="shared" si="4"/>
        <v>2034</v>
      </c>
      <c r="Q10" s="17">
        <f t="shared" si="4"/>
        <v>2035</v>
      </c>
      <c r="R10" s="17">
        <f t="shared" si="4"/>
        <v>2036</v>
      </c>
      <c r="S10" s="17">
        <f t="shared" si="4"/>
        <v>2037</v>
      </c>
      <c r="T10" s="17">
        <f t="shared" si="4"/>
        <v>2038</v>
      </c>
      <c r="U10" s="17">
        <f t="shared" si="4"/>
        <v>2039</v>
      </c>
      <c r="V10" s="17">
        <f t="shared" si="4"/>
        <v>2040</v>
      </c>
      <c r="W10" s="17">
        <f t="shared" si="4"/>
        <v>2041</v>
      </c>
      <c r="X10" s="17">
        <f t="shared" si="4"/>
        <v>2042</v>
      </c>
      <c r="Y10" s="17">
        <f t="shared" si="4"/>
        <v>2043</v>
      </c>
      <c r="Z10" s="17">
        <f t="shared" si="4"/>
        <v>2044</v>
      </c>
      <c r="AA10" s="17">
        <f t="shared" si="4"/>
        <v>2045</v>
      </c>
      <c r="AB10" s="17">
        <f t="shared" si="4"/>
        <v>2046</v>
      </c>
      <c r="AC10" s="17">
        <f t="shared" si="4"/>
        <v>2047</v>
      </c>
      <c r="AD10" s="17">
        <f t="shared" si="4"/>
        <v>2048</v>
      </c>
      <c r="AE10" s="17">
        <f t="shared" si="4"/>
        <v>2049</v>
      </c>
      <c r="AF10" s="17">
        <f t="shared" si="4"/>
        <v>2050</v>
      </c>
      <c r="AG10" s="17">
        <f t="shared" si="4"/>
        <v>2051</v>
      </c>
      <c r="AH10" s="17">
        <f t="shared" si="4"/>
        <v>2052</v>
      </c>
      <c r="AI10" s="19" t="s">
        <v>445</v>
      </c>
    </row>
    <row r="11" spans="1:35" ht="15" customHeight="1">
      <c r="A11" s="657" t="s">
        <v>450</v>
      </c>
      <c r="B11" s="657" t="s">
        <v>447</v>
      </c>
      <c r="C11" s="20" t="s">
        <v>77</v>
      </c>
      <c r="D11" s="21">
        <f t="shared" ref="D11:J14" si="5">ROUND((($AF11-$L11)/($AF$3-$L$3))*(D$3-$L$3)+$L11,1)</f>
        <v>0</v>
      </c>
      <c r="E11" s="21">
        <f t="shared" si="5"/>
        <v>0</v>
      </c>
      <c r="F11" s="21">
        <f t="shared" si="5"/>
        <v>0</v>
      </c>
      <c r="G11" s="21">
        <f t="shared" si="5"/>
        <v>0</v>
      </c>
      <c r="H11" s="21">
        <f t="shared" si="5"/>
        <v>0</v>
      </c>
      <c r="I11" s="21">
        <f t="shared" si="5"/>
        <v>0</v>
      </c>
      <c r="J11" s="21">
        <f t="shared" si="5"/>
        <v>0</v>
      </c>
      <c r="K11" s="21">
        <f>ROUND((($AF11-$L11)/($AF$3-$L$3))*(K$3-$L$3)+$L11,1)</f>
        <v>0</v>
      </c>
      <c r="L11" s="21">
        <v>0</v>
      </c>
      <c r="M11" s="21">
        <f t="shared" ref="M11:AB14" si="6">ROUND((($AF11-$L11)/($AF$3-$L$3))*(M$3-$L$3)+$L11,1)</f>
        <v>0</v>
      </c>
      <c r="N11" s="21">
        <f t="shared" si="6"/>
        <v>0</v>
      </c>
      <c r="O11" s="21">
        <f t="shared" si="6"/>
        <v>0</v>
      </c>
      <c r="P11" s="21">
        <f t="shared" si="6"/>
        <v>0</v>
      </c>
      <c r="Q11" s="21">
        <f t="shared" si="6"/>
        <v>0</v>
      </c>
      <c r="R11" s="21">
        <f t="shared" si="6"/>
        <v>0</v>
      </c>
      <c r="S11" s="21">
        <f t="shared" si="6"/>
        <v>0</v>
      </c>
      <c r="T11" s="21">
        <f t="shared" si="6"/>
        <v>0</v>
      </c>
      <c r="U11" s="21">
        <f t="shared" si="6"/>
        <v>0</v>
      </c>
      <c r="V11" s="21">
        <f t="shared" si="6"/>
        <v>0</v>
      </c>
      <c r="W11" s="21">
        <f t="shared" si="6"/>
        <v>0</v>
      </c>
      <c r="X11" s="21">
        <f t="shared" si="6"/>
        <v>0</v>
      </c>
      <c r="Y11" s="21">
        <f t="shared" si="6"/>
        <v>0</v>
      </c>
      <c r="Z11" s="21">
        <f t="shared" si="6"/>
        <v>0</v>
      </c>
      <c r="AA11" s="21">
        <f t="shared" si="6"/>
        <v>0</v>
      </c>
      <c r="AB11" s="21">
        <f t="shared" si="6"/>
        <v>0</v>
      </c>
      <c r="AC11" s="21">
        <f t="shared" ref="AC11:AH14" si="7">ROUND((($AF11-$L11)/($AF$3-$L$3))*(AC$3-$L$3)+$L11,1)</f>
        <v>0</v>
      </c>
      <c r="AD11" s="21">
        <f t="shared" si="7"/>
        <v>0</v>
      </c>
      <c r="AE11" s="21">
        <f t="shared" si="7"/>
        <v>0</v>
      </c>
      <c r="AF11" s="21">
        <v>0</v>
      </c>
      <c r="AG11" s="21">
        <f t="shared" si="7"/>
        <v>0</v>
      </c>
      <c r="AH11" s="21">
        <f t="shared" si="7"/>
        <v>0</v>
      </c>
      <c r="AI11" s="418">
        <f>SUM(G11:AH11)</f>
        <v>0</v>
      </c>
    </row>
    <row r="12" spans="1:35">
      <c r="A12" s="658"/>
      <c r="B12" s="658"/>
      <c r="C12" s="22" t="s">
        <v>78</v>
      </c>
      <c r="D12" s="23">
        <f t="shared" si="5"/>
        <v>0.1</v>
      </c>
      <c r="E12" s="23">
        <f t="shared" si="5"/>
        <v>0.1</v>
      </c>
      <c r="F12" s="23">
        <f t="shared" si="5"/>
        <v>0.1</v>
      </c>
      <c r="G12" s="23">
        <f t="shared" si="5"/>
        <v>0.1</v>
      </c>
      <c r="H12" s="23">
        <f t="shared" si="5"/>
        <v>0.1</v>
      </c>
      <c r="I12" s="23">
        <f t="shared" si="5"/>
        <v>0.1</v>
      </c>
      <c r="J12" s="23">
        <f t="shared" si="5"/>
        <v>0.1</v>
      </c>
      <c r="K12" s="23">
        <f>ROUND((($AF12-$L12)/($AF$3-$L$3))*(K$3-$L$3)+$L12,1)</f>
        <v>0.1</v>
      </c>
      <c r="L12" s="23">
        <v>0.1</v>
      </c>
      <c r="M12" s="23">
        <f t="shared" si="6"/>
        <v>0.1</v>
      </c>
      <c r="N12" s="23">
        <f t="shared" si="6"/>
        <v>0.1</v>
      </c>
      <c r="O12" s="23">
        <f t="shared" si="6"/>
        <v>0.1</v>
      </c>
      <c r="P12" s="23">
        <f t="shared" si="6"/>
        <v>0.1</v>
      </c>
      <c r="Q12" s="23">
        <f t="shared" si="6"/>
        <v>0.1</v>
      </c>
      <c r="R12" s="23">
        <f t="shared" si="6"/>
        <v>0.1</v>
      </c>
      <c r="S12" s="23">
        <f t="shared" si="6"/>
        <v>0.1</v>
      </c>
      <c r="T12" s="23">
        <f t="shared" si="6"/>
        <v>0.1</v>
      </c>
      <c r="U12" s="23">
        <f t="shared" si="6"/>
        <v>0.1</v>
      </c>
      <c r="V12" s="23">
        <f t="shared" si="6"/>
        <v>0.1</v>
      </c>
      <c r="W12" s="23">
        <f t="shared" si="6"/>
        <v>0.1</v>
      </c>
      <c r="X12" s="23">
        <f t="shared" si="6"/>
        <v>0.1</v>
      </c>
      <c r="Y12" s="23">
        <f t="shared" si="6"/>
        <v>0.1</v>
      </c>
      <c r="Z12" s="23">
        <f t="shared" si="6"/>
        <v>0.1</v>
      </c>
      <c r="AA12" s="23">
        <f t="shared" si="6"/>
        <v>0.1</v>
      </c>
      <c r="AB12" s="23">
        <f t="shared" si="6"/>
        <v>0.1</v>
      </c>
      <c r="AC12" s="23">
        <f t="shared" si="7"/>
        <v>0.1</v>
      </c>
      <c r="AD12" s="23">
        <f t="shared" si="7"/>
        <v>0.1</v>
      </c>
      <c r="AE12" s="23">
        <f t="shared" si="7"/>
        <v>0.1</v>
      </c>
      <c r="AF12" s="23">
        <v>0.1</v>
      </c>
      <c r="AG12" s="23">
        <f t="shared" si="7"/>
        <v>0.1</v>
      </c>
      <c r="AH12" s="23">
        <f t="shared" si="7"/>
        <v>0.1</v>
      </c>
      <c r="AI12" s="419">
        <f>SUM(G12:AH12)</f>
        <v>2.8000000000000012</v>
      </c>
    </row>
    <row r="13" spans="1:35">
      <c r="A13" s="658"/>
      <c r="B13" s="658"/>
      <c r="C13" s="22" t="s">
        <v>79</v>
      </c>
      <c r="D13" s="23">
        <f t="shared" si="5"/>
        <v>0.8</v>
      </c>
      <c r="E13" s="23">
        <f t="shared" si="5"/>
        <v>0.8</v>
      </c>
      <c r="F13" s="23">
        <f t="shared" si="5"/>
        <v>0.8</v>
      </c>
      <c r="G13" s="23">
        <f t="shared" si="5"/>
        <v>0.9</v>
      </c>
      <c r="H13" s="23">
        <f t="shared" si="5"/>
        <v>0.9</v>
      </c>
      <c r="I13" s="23">
        <f t="shared" si="5"/>
        <v>0.9</v>
      </c>
      <c r="J13" s="23">
        <f t="shared" si="5"/>
        <v>0.9</v>
      </c>
      <c r="K13" s="23">
        <f>ROUND((($AF13-$L13)/($AF$3-$L$3))*(K$3-$L$3)+$L13,1)</f>
        <v>0.9</v>
      </c>
      <c r="L13" s="23">
        <f>0.3+0.6</f>
        <v>0.89999999999999991</v>
      </c>
      <c r="M13" s="23">
        <f t="shared" si="6"/>
        <v>0.9</v>
      </c>
      <c r="N13" s="23">
        <f t="shared" si="6"/>
        <v>0.9</v>
      </c>
      <c r="O13" s="23">
        <f t="shared" si="6"/>
        <v>0.9</v>
      </c>
      <c r="P13" s="23">
        <f t="shared" si="6"/>
        <v>0.9</v>
      </c>
      <c r="Q13" s="23">
        <f t="shared" si="6"/>
        <v>1</v>
      </c>
      <c r="R13" s="23">
        <f t="shared" si="6"/>
        <v>1</v>
      </c>
      <c r="S13" s="23">
        <f t="shared" si="6"/>
        <v>1</v>
      </c>
      <c r="T13" s="23">
        <f t="shared" si="6"/>
        <v>1</v>
      </c>
      <c r="U13" s="23">
        <f t="shared" si="6"/>
        <v>1</v>
      </c>
      <c r="V13" s="23">
        <f t="shared" si="6"/>
        <v>1</v>
      </c>
      <c r="W13" s="23">
        <f t="shared" si="6"/>
        <v>1</v>
      </c>
      <c r="X13" s="23">
        <f t="shared" si="6"/>
        <v>1</v>
      </c>
      <c r="Y13" s="23">
        <f t="shared" si="6"/>
        <v>1</v>
      </c>
      <c r="Z13" s="23">
        <f t="shared" si="6"/>
        <v>1</v>
      </c>
      <c r="AA13" s="23">
        <f t="shared" si="6"/>
        <v>1.1000000000000001</v>
      </c>
      <c r="AB13" s="23">
        <f t="shared" si="6"/>
        <v>1.1000000000000001</v>
      </c>
      <c r="AC13" s="23">
        <f t="shared" si="7"/>
        <v>1.1000000000000001</v>
      </c>
      <c r="AD13" s="23">
        <f t="shared" si="7"/>
        <v>1.1000000000000001</v>
      </c>
      <c r="AE13" s="23">
        <f t="shared" si="7"/>
        <v>1.1000000000000001</v>
      </c>
      <c r="AF13" s="23">
        <f>0.4+0.7</f>
        <v>1.1000000000000001</v>
      </c>
      <c r="AG13" s="23">
        <f t="shared" si="7"/>
        <v>1.1000000000000001</v>
      </c>
      <c r="AH13" s="23">
        <f t="shared" si="7"/>
        <v>1.1000000000000001</v>
      </c>
      <c r="AI13" s="419">
        <f>SUM(G13:AH13)</f>
        <v>27.800000000000011</v>
      </c>
    </row>
    <row r="14" spans="1:35">
      <c r="A14" s="659"/>
      <c r="B14" s="659"/>
      <c r="C14" s="24" t="s">
        <v>448</v>
      </c>
      <c r="D14" s="25">
        <f t="shared" si="5"/>
        <v>-0.2</v>
      </c>
      <c r="E14" s="25">
        <f t="shared" si="5"/>
        <v>0</v>
      </c>
      <c r="F14" s="25">
        <f t="shared" si="5"/>
        <v>0.1</v>
      </c>
      <c r="G14" s="25">
        <f t="shared" si="5"/>
        <v>0.2</v>
      </c>
      <c r="H14" s="25">
        <f t="shared" si="5"/>
        <v>0.4</v>
      </c>
      <c r="I14" s="25">
        <f t="shared" si="5"/>
        <v>0.5</v>
      </c>
      <c r="J14" s="25">
        <f t="shared" si="5"/>
        <v>0.6</v>
      </c>
      <c r="K14" s="25">
        <f>ROUND((($AF14-$L14)/($AF$3-$L$3))*(K$3-$L$3)+$L14,1)</f>
        <v>0.8</v>
      </c>
      <c r="L14" s="25">
        <v>0.9</v>
      </c>
      <c r="M14" s="25">
        <f t="shared" si="6"/>
        <v>1</v>
      </c>
      <c r="N14" s="25">
        <f t="shared" si="6"/>
        <v>1.2</v>
      </c>
      <c r="O14" s="25">
        <f t="shared" si="6"/>
        <v>1.3</v>
      </c>
      <c r="P14" s="25">
        <f t="shared" si="6"/>
        <v>1.4</v>
      </c>
      <c r="Q14" s="25">
        <f t="shared" si="6"/>
        <v>1.6</v>
      </c>
      <c r="R14" s="25">
        <f t="shared" si="6"/>
        <v>1.7</v>
      </c>
      <c r="S14" s="25">
        <f t="shared" si="6"/>
        <v>1.8</v>
      </c>
      <c r="T14" s="25">
        <f t="shared" si="6"/>
        <v>2</v>
      </c>
      <c r="U14" s="25">
        <f t="shared" si="6"/>
        <v>2.1</v>
      </c>
      <c r="V14" s="25">
        <f t="shared" si="6"/>
        <v>2.2999999999999998</v>
      </c>
      <c r="W14" s="25">
        <f t="shared" si="6"/>
        <v>2.4</v>
      </c>
      <c r="X14" s="25">
        <f t="shared" si="6"/>
        <v>2.5</v>
      </c>
      <c r="Y14" s="25">
        <f t="shared" si="6"/>
        <v>2.7</v>
      </c>
      <c r="Z14" s="25">
        <f t="shared" si="6"/>
        <v>2.8</v>
      </c>
      <c r="AA14" s="25">
        <f t="shared" si="6"/>
        <v>2.9</v>
      </c>
      <c r="AB14" s="25">
        <f t="shared" si="6"/>
        <v>3.1</v>
      </c>
      <c r="AC14" s="25">
        <f t="shared" si="7"/>
        <v>3.2</v>
      </c>
      <c r="AD14" s="25">
        <f t="shared" si="7"/>
        <v>3.3</v>
      </c>
      <c r="AE14" s="25">
        <f t="shared" si="7"/>
        <v>3.5</v>
      </c>
      <c r="AF14" s="25">
        <v>3.6</v>
      </c>
      <c r="AG14" s="25">
        <f t="shared" si="7"/>
        <v>3.7</v>
      </c>
      <c r="AH14" s="25">
        <f t="shared" si="7"/>
        <v>3.9</v>
      </c>
      <c r="AI14" s="420">
        <f>SUM(G14:AH14)</f>
        <v>57.400000000000006</v>
      </c>
    </row>
    <row r="15" spans="1:35" ht="13.5" thickBot="1">
      <c r="C15" s="22" t="s">
        <v>449</v>
      </c>
      <c r="D15" s="22"/>
      <c r="E15" s="22"/>
      <c r="F15" s="22"/>
      <c r="AI15" s="421">
        <f>SUM(AI11:AI14)</f>
        <v>88.000000000000014</v>
      </c>
    </row>
    <row r="16" spans="1:35">
      <c r="G16" s="18">
        <v>1</v>
      </c>
      <c r="H16" s="18">
        <v>2</v>
      </c>
      <c r="I16" s="18">
        <v>3</v>
      </c>
      <c r="J16" s="18">
        <v>4</v>
      </c>
      <c r="K16" s="18">
        <v>5</v>
      </c>
      <c r="L16" s="18">
        <v>6</v>
      </c>
      <c r="M16" s="18">
        <v>7</v>
      </c>
      <c r="N16" s="18">
        <v>8</v>
      </c>
      <c r="O16" s="18">
        <v>9</v>
      </c>
      <c r="P16" s="18">
        <v>10</v>
      </c>
      <c r="Q16" s="18">
        <v>11</v>
      </c>
      <c r="R16" s="18">
        <v>12</v>
      </c>
      <c r="S16" s="18">
        <v>13</v>
      </c>
      <c r="T16" s="18">
        <v>14</v>
      </c>
      <c r="U16" s="18">
        <v>15</v>
      </c>
      <c r="V16" s="18">
        <v>16</v>
      </c>
      <c r="W16" s="18">
        <v>17</v>
      </c>
      <c r="X16" s="18">
        <v>18</v>
      </c>
      <c r="Y16" s="18">
        <v>19</v>
      </c>
      <c r="Z16" s="18">
        <v>20</v>
      </c>
      <c r="AA16" s="18">
        <v>21</v>
      </c>
      <c r="AB16" s="18">
        <v>22</v>
      </c>
      <c r="AC16" s="18">
        <v>23</v>
      </c>
      <c r="AD16" s="18">
        <v>24</v>
      </c>
      <c r="AE16" s="18">
        <v>25</v>
      </c>
      <c r="AF16" s="18">
        <v>26</v>
      </c>
      <c r="AG16" s="18">
        <v>27</v>
      </c>
      <c r="AH16" s="18">
        <v>28</v>
      </c>
      <c r="AI16" s="19"/>
    </row>
    <row r="17" spans="1:35" ht="13.5" thickBot="1">
      <c r="D17" s="17">
        <v>2022</v>
      </c>
      <c r="E17" s="17">
        <v>2023</v>
      </c>
      <c r="F17" s="17">
        <v>2024</v>
      </c>
      <c r="G17" s="17">
        <f t="shared" ref="G17:AH17" si="8">G$3</f>
        <v>2025</v>
      </c>
      <c r="H17" s="17">
        <f t="shared" si="8"/>
        <v>2026</v>
      </c>
      <c r="I17" s="17">
        <f t="shared" si="8"/>
        <v>2027</v>
      </c>
      <c r="J17" s="17">
        <f t="shared" si="8"/>
        <v>2028</v>
      </c>
      <c r="K17" s="17">
        <f t="shared" si="8"/>
        <v>2029</v>
      </c>
      <c r="L17" s="17">
        <f t="shared" si="8"/>
        <v>2030</v>
      </c>
      <c r="M17" s="17">
        <f t="shared" si="8"/>
        <v>2031</v>
      </c>
      <c r="N17" s="17">
        <f t="shared" si="8"/>
        <v>2032</v>
      </c>
      <c r="O17" s="17">
        <f t="shared" si="8"/>
        <v>2033</v>
      </c>
      <c r="P17" s="17">
        <f t="shared" si="8"/>
        <v>2034</v>
      </c>
      <c r="Q17" s="17">
        <f t="shared" si="8"/>
        <v>2035</v>
      </c>
      <c r="R17" s="17">
        <f t="shared" si="8"/>
        <v>2036</v>
      </c>
      <c r="S17" s="17">
        <f t="shared" si="8"/>
        <v>2037</v>
      </c>
      <c r="T17" s="17">
        <f t="shared" si="8"/>
        <v>2038</v>
      </c>
      <c r="U17" s="17">
        <f t="shared" si="8"/>
        <v>2039</v>
      </c>
      <c r="V17" s="17">
        <f t="shared" si="8"/>
        <v>2040</v>
      </c>
      <c r="W17" s="17">
        <f t="shared" si="8"/>
        <v>2041</v>
      </c>
      <c r="X17" s="17">
        <f t="shared" si="8"/>
        <v>2042</v>
      </c>
      <c r="Y17" s="17">
        <f t="shared" si="8"/>
        <v>2043</v>
      </c>
      <c r="Z17" s="17">
        <f t="shared" si="8"/>
        <v>2044</v>
      </c>
      <c r="AA17" s="17">
        <f t="shared" si="8"/>
        <v>2045</v>
      </c>
      <c r="AB17" s="17">
        <f t="shared" si="8"/>
        <v>2046</v>
      </c>
      <c r="AC17" s="17">
        <f t="shared" si="8"/>
        <v>2047</v>
      </c>
      <c r="AD17" s="17">
        <f t="shared" si="8"/>
        <v>2048</v>
      </c>
      <c r="AE17" s="17">
        <f t="shared" si="8"/>
        <v>2049</v>
      </c>
      <c r="AF17" s="17">
        <f t="shared" si="8"/>
        <v>2050</v>
      </c>
      <c r="AG17" s="17">
        <f t="shared" si="8"/>
        <v>2051</v>
      </c>
      <c r="AH17" s="17">
        <f t="shared" si="8"/>
        <v>2052</v>
      </c>
      <c r="AI17" s="19" t="s">
        <v>445</v>
      </c>
    </row>
    <row r="18" spans="1:35" ht="15" customHeight="1">
      <c r="A18" s="657" t="s">
        <v>451</v>
      </c>
      <c r="B18" s="657" t="s">
        <v>447</v>
      </c>
      <c r="C18" s="20" t="s">
        <v>77</v>
      </c>
      <c r="D18" s="21">
        <f t="shared" ref="D18:K21" si="9">ROUND((($AF18-$L18)/($AF$3-$L$3))*(D$3-$L$3)+$L18,1)</f>
        <v>0.1</v>
      </c>
      <c r="E18" s="21">
        <f t="shared" si="9"/>
        <v>0.1</v>
      </c>
      <c r="F18" s="21">
        <f t="shared" si="9"/>
        <v>0.1</v>
      </c>
      <c r="G18" s="21">
        <f t="shared" si="9"/>
        <v>0.1</v>
      </c>
      <c r="H18" s="21">
        <f t="shared" si="9"/>
        <v>0.1</v>
      </c>
      <c r="I18" s="21">
        <f t="shared" si="9"/>
        <v>0.1</v>
      </c>
      <c r="J18" s="21">
        <f t="shared" si="9"/>
        <v>0.1</v>
      </c>
      <c r="K18" s="21">
        <f t="shared" si="9"/>
        <v>0.1</v>
      </c>
      <c r="L18" s="21">
        <v>6.3E-2</v>
      </c>
      <c r="M18" s="21">
        <f t="shared" ref="M18:V21" si="10">ROUND((($AF18-$L18)/($AF$3-$L$3))*(M$3-$L$3)+$L18,1)</f>
        <v>0.1</v>
      </c>
      <c r="N18" s="21">
        <f t="shared" si="10"/>
        <v>0.1</v>
      </c>
      <c r="O18" s="21">
        <f t="shared" si="10"/>
        <v>0.1</v>
      </c>
      <c r="P18" s="21">
        <f t="shared" si="10"/>
        <v>0.1</v>
      </c>
      <c r="Q18" s="21">
        <f t="shared" si="10"/>
        <v>0.1</v>
      </c>
      <c r="R18" s="21">
        <f t="shared" si="10"/>
        <v>0.1</v>
      </c>
      <c r="S18" s="21">
        <f t="shared" si="10"/>
        <v>0.1</v>
      </c>
      <c r="T18" s="21">
        <f t="shared" si="10"/>
        <v>0.1</v>
      </c>
      <c r="U18" s="21">
        <f t="shared" si="10"/>
        <v>0.1</v>
      </c>
      <c r="V18" s="21">
        <f t="shared" si="10"/>
        <v>0.1</v>
      </c>
      <c r="W18" s="21">
        <f t="shared" ref="W18:AE21" si="11">ROUND((($AF18-$L18)/($AF$3-$L$3))*(W$3-$L$3)+$L18,1)</f>
        <v>0.1</v>
      </c>
      <c r="X18" s="21">
        <f t="shared" si="11"/>
        <v>0.1</v>
      </c>
      <c r="Y18" s="21">
        <f t="shared" si="11"/>
        <v>0.1</v>
      </c>
      <c r="Z18" s="21">
        <f t="shared" si="11"/>
        <v>0.1</v>
      </c>
      <c r="AA18" s="21">
        <f t="shared" si="11"/>
        <v>0.1</v>
      </c>
      <c r="AB18" s="21">
        <f t="shared" si="11"/>
        <v>0.1</v>
      </c>
      <c r="AC18" s="21">
        <f t="shared" si="11"/>
        <v>0.1</v>
      </c>
      <c r="AD18" s="21">
        <f t="shared" si="11"/>
        <v>0.1</v>
      </c>
      <c r="AE18" s="21">
        <f t="shared" si="11"/>
        <v>0.1</v>
      </c>
      <c r="AF18" s="21">
        <v>6.9000000000000006E-2</v>
      </c>
      <c r="AG18" s="21">
        <f t="shared" ref="AG18:AH21" si="12">ROUND((($AF18-$L18)/($AF$3-$L$3))*(AG$3-$L$3)+$L18,1)</f>
        <v>0.1</v>
      </c>
      <c r="AH18" s="21">
        <f t="shared" si="12"/>
        <v>0.1</v>
      </c>
      <c r="AI18" s="418">
        <f>SUM(G18:AH18)</f>
        <v>2.7320000000000011</v>
      </c>
    </row>
    <row r="19" spans="1:35">
      <c r="A19" s="658"/>
      <c r="B19" s="658"/>
      <c r="C19" s="22" t="s">
        <v>78</v>
      </c>
      <c r="D19" s="23">
        <f t="shared" si="9"/>
        <v>0.1</v>
      </c>
      <c r="E19" s="23">
        <f t="shared" si="9"/>
        <v>0.1</v>
      </c>
      <c r="F19" s="23">
        <f t="shared" si="9"/>
        <v>0.1</v>
      </c>
      <c r="G19" s="23">
        <f t="shared" si="9"/>
        <v>0.1</v>
      </c>
      <c r="H19" s="23">
        <f t="shared" si="9"/>
        <v>0.1</v>
      </c>
      <c r="I19" s="23">
        <f t="shared" si="9"/>
        <v>0.1</v>
      </c>
      <c r="J19" s="23">
        <f t="shared" si="9"/>
        <v>0.1</v>
      </c>
      <c r="K19" s="23">
        <f t="shared" si="9"/>
        <v>0.1</v>
      </c>
      <c r="L19" s="23">
        <v>0.122</v>
      </c>
      <c r="M19" s="23">
        <f t="shared" si="10"/>
        <v>0.1</v>
      </c>
      <c r="N19" s="23">
        <f t="shared" si="10"/>
        <v>0.1</v>
      </c>
      <c r="O19" s="23">
        <f t="shared" si="10"/>
        <v>0.1</v>
      </c>
      <c r="P19" s="23">
        <f t="shared" si="10"/>
        <v>0.1</v>
      </c>
      <c r="Q19" s="23">
        <f t="shared" si="10"/>
        <v>0.1</v>
      </c>
      <c r="R19" s="23">
        <f t="shared" si="10"/>
        <v>0.1</v>
      </c>
      <c r="S19" s="23">
        <f t="shared" si="10"/>
        <v>0.1</v>
      </c>
      <c r="T19" s="23">
        <f t="shared" si="10"/>
        <v>0.1</v>
      </c>
      <c r="U19" s="23">
        <f t="shared" si="10"/>
        <v>0.1</v>
      </c>
      <c r="V19" s="23">
        <f t="shared" si="10"/>
        <v>0.1</v>
      </c>
      <c r="W19" s="23">
        <f t="shared" si="11"/>
        <v>0.1</v>
      </c>
      <c r="X19" s="23">
        <f t="shared" si="11"/>
        <v>0.1</v>
      </c>
      <c r="Y19" s="23">
        <f t="shared" si="11"/>
        <v>0.1</v>
      </c>
      <c r="Z19" s="23">
        <f t="shared" si="11"/>
        <v>0.1</v>
      </c>
      <c r="AA19" s="23">
        <f t="shared" si="11"/>
        <v>0.1</v>
      </c>
      <c r="AB19" s="23">
        <f t="shared" si="11"/>
        <v>0.1</v>
      </c>
      <c r="AC19" s="23">
        <f t="shared" si="11"/>
        <v>0.1</v>
      </c>
      <c r="AD19" s="23">
        <f t="shared" si="11"/>
        <v>0.1</v>
      </c>
      <c r="AE19" s="23">
        <f t="shared" si="11"/>
        <v>0.1</v>
      </c>
      <c r="AF19" s="23">
        <v>0.13300000000000001</v>
      </c>
      <c r="AG19" s="23">
        <f t="shared" si="12"/>
        <v>0.1</v>
      </c>
      <c r="AH19" s="23">
        <f t="shared" si="12"/>
        <v>0.1</v>
      </c>
      <c r="AI19" s="419">
        <f>SUM(G19:AH19)</f>
        <v>2.8550000000000013</v>
      </c>
    </row>
    <row r="20" spans="1:35">
      <c r="A20" s="658"/>
      <c r="B20" s="658"/>
      <c r="C20" s="22" t="s">
        <v>79</v>
      </c>
      <c r="D20" s="23">
        <f t="shared" si="9"/>
        <v>1.4</v>
      </c>
      <c r="E20" s="23">
        <f t="shared" si="9"/>
        <v>1.4</v>
      </c>
      <c r="F20" s="23">
        <f t="shared" si="9"/>
        <v>1.4</v>
      </c>
      <c r="G20" s="23">
        <f t="shared" si="9"/>
        <v>1.4</v>
      </c>
      <c r="H20" s="23">
        <f t="shared" si="9"/>
        <v>1.4</v>
      </c>
      <c r="I20" s="23">
        <f t="shared" si="9"/>
        <v>1.4</v>
      </c>
      <c r="J20" s="23">
        <f t="shared" si="9"/>
        <v>1.4</v>
      </c>
      <c r="K20" s="23">
        <f t="shared" si="9"/>
        <v>1.4</v>
      </c>
      <c r="L20" s="23">
        <v>1.42</v>
      </c>
      <c r="M20" s="23">
        <f t="shared" si="10"/>
        <v>1.4</v>
      </c>
      <c r="N20" s="23">
        <f t="shared" si="10"/>
        <v>1.4</v>
      </c>
      <c r="O20" s="23">
        <f t="shared" si="10"/>
        <v>1.4</v>
      </c>
      <c r="P20" s="23">
        <f t="shared" si="10"/>
        <v>1.4</v>
      </c>
      <c r="Q20" s="23">
        <f t="shared" si="10"/>
        <v>1.5</v>
      </c>
      <c r="R20" s="23">
        <f t="shared" si="10"/>
        <v>1.5</v>
      </c>
      <c r="S20" s="23">
        <f t="shared" si="10"/>
        <v>1.5</v>
      </c>
      <c r="T20" s="23">
        <f t="shared" si="10"/>
        <v>1.5</v>
      </c>
      <c r="U20" s="23">
        <f t="shared" si="10"/>
        <v>1.5</v>
      </c>
      <c r="V20" s="23">
        <f t="shared" si="10"/>
        <v>1.5</v>
      </c>
      <c r="W20" s="23">
        <f t="shared" si="11"/>
        <v>1.5</v>
      </c>
      <c r="X20" s="23">
        <f t="shared" si="11"/>
        <v>1.5</v>
      </c>
      <c r="Y20" s="23">
        <f t="shared" si="11"/>
        <v>1.5</v>
      </c>
      <c r="Z20" s="23">
        <f t="shared" si="11"/>
        <v>1.5</v>
      </c>
      <c r="AA20" s="23">
        <f t="shared" si="11"/>
        <v>1.5</v>
      </c>
      <c r="AB20" s="23">
        <f t="shared" si="11"/>
        <v>1.5</v>
      </c>
      <c r="AC20" s="23">
        <f t="shared" si="11"/>
        <v>1.5</v>
      </c>
      <c r="AD20" s="23">
        <f t="shared" si="11"/>
        <v>1.5</v>
      </c>
      <c r="AE20" s="23">
        <f t="shared" si="11"/>
        <v>1.5</v>
      </c>
      <c r="AF20" s="23">
        <v>1.5549999999999999</v>
      </c>
      <c r="AG20" s="23">
        <f t="shared" si="12"/>
        <v>1.6</v>
      </c>
      <c r="AH20" s="23">
        <f t="shared" si="12"/>
        <v>1.6</v>
      </c>
      <c r="AI20" s="419">
        <f>SUM(G20:AH20)</f>
        <v>41.275000000000006</v>
      </c>
    </row>
    <row r="21" spans="1:35">
      <c r="A21" s="659"/>
      <c r="B21" s="659"/>
      <c r="C21" s="24" t="s">
        <v>448</v>
      </c>
      <c r="D21" s="25">
        <f t="shared" si="9"/>
        <v>8.6</v>
      </c>
      <c r="E21" s="25">
        <f t="shared" si="9"/>
        <v>8.6999999999999993</v>
      </c>
      <c r="F21" s="25">
        <f t="shared" si="9"/>
        <v>8.6999999999999993</v>
      </c>
      <c r="G21" s="25">
        <f t="shared" si="9"/>
        <v>8.6999999999999993</v>
      </c>
      <c r="H21" s="25">
        <f t="shared" si="9"/>
        <v>8.8000000000000007</v>
      </c>
      <c r="I21" s="25">
        <f t="shared" si="9"/>
        <v>8.8000000000000007</v>
      </c>
      <c r="J21" s="25">
        <f t="shared" si="9"/>
        <v>8.8000000000000007</v>
      </c>
      <c r="K21" s="25">
        <f t="shared" si="9"/>
        <v>8.9</v>
      </c>
      <c r="L21" s="25">
        <v>8.9</v>
      </c>
      <c r="M21" s="25">
        <f t="shared" si="10"/>
        <v>8.9</v>
      </c>
      <c r="N21" s="25">
        <f t="shared" si="10"/>
        <v>9</v>
      </c>
      <c r="O21" s="25">
        <f t="shared" si="10"/>
        <v>9</v>
      </c>
      <c r="P21" s="25">
        <f t="shared" si="10"/>
        <v>9</v>
      </c>
      <c r="Q21" s="25">
        <f t="shared" si="10"/>
        <v>9.1</v>
      </c>
      <c r="R21" s="25">
        <f t="shared" si="10"/>
        <v>9.1</v>
      </c>
      <c r="S21" s="25">
        <f t="shared" si="10"/>
        <v>9.1</v>
      </c>
      <c r="T21" s="25">
        <f t="shared" si="10"/>
        <v>9.1999999999999993</v>
      </c>
      <c r="U21" s="25">
        <f t="shared" si="10"/>
        <v>9.1999999999999993</v>
      </c>
      <c r="V21" s="25">
        <f t="shared" si="10"/>
        <v>9.3000000000000007</v>
      </c>
      <c r="W21" s="25">
        <f t="shared" si="11"/>
        <v>9.3000000000000007</v>
      </c>
      <c r="X21" s="25">
        <f t="shared" si="11"/>
        <v>9.3000000000000007</v>
      </c>
      <c r="Y21" s="25">
        <f t="shared" si="11"/>
        <v>9.4</v>
      </c>
      <c r="Z21" s="25">
        <f t="shared" si="11"/>
        <v>9.4</v>
      </c>
      <c r="AA21" s="25">
        <f t="shared" si="11"/>
        <v>9.4</v>
      </c>
      <c r="AB21" s="25">
        <f t="shared" si="11"/>
        <v>9.5</v>
      </c>
      <c r="AC21" s="25">
        <f t="shared" si="11"/>
        <v>9.5</v>
      </c>
      <c r="AD21" s="25">
        <f t="shared" si="11"/>
        <v>9.5</v>
      </c>
      <c r="AE21" s="25">
        <f t="shared" si="11"/>
        <v>9.6</v>
      </c>
      <c r="AF21" s="25">
        <v>9.6</v>
      </c>
      <c r="AG21" s="25">
        <f t="shared" si="12"/>
        <v>9.6</v>
      </c>
      <c r="AH21" s="25">
        <f t="shared" si="12"/>
        <v>9.6999999999999993</v>
      </c>
      <c r="AI21" s="420">
        <f>SUM(G21:AH21)</f>
        <v>257.60000000000002</v>
      </c>
    </row>
    <row r="22" spans="1:35" ht="13.5" thickBot="1">
      <c r="C22" s="22" t="s">
        <v>449</v>
      </c>
      <c r="D22" s="22"/>
      <c r="E22" s="22"/>
      <c r="F22" s="22"/>
      <c r="AI22" s="421">
        <f>SUM(AI18:AI21)</f>
        <v>304.46200000000005</v>
      </c>
    </row>
    <row r="23" spans="1:35">
      <c r="C23" s="22"/>
      <c r="D23" s="22"/>
      <c r="E23" s="22"/>
      <c r="F23" s="22"/>
      <c r="AI23" s="19"/>
    </row>
    <row r="24" spans="1:35">
      <c r="B24" s="16"/>
      <c r="G24" s="18">
        <v>1</v>
      </c>
      <c r="H24" s="18">
        <v>2</v>
      </c>
      <c r="I24" s="18">
        <v>3</v>
      </c>
      <c r="J24" s="18">
        <v>4</v>
      </c>
      <c r="K24" s="18">
        <v>5</v>
      </c>
      <c r="L24" s="18">
        <v>6</v>
      </c>
      <c r="M24" s="18">
        <v>7</v>
      </c>
      <c r="N24" s="18">
        <v>8</v>
      </c>
      <c r="O24" s="18">
        <v>9</v>
      </c>
      <c r="P24" s="18">
        <v>10</v>
      </c>
      <c r="Q24" s="18">
        <v>11</v>
      </c>
      <c r="R24" s="18">
        <v>12</v>
      </c>
      <c r="S24" s="18">
        <v>13</v>
      </c>
      <c r="T24" s="18">
        <v>14</v>
      </c>
      <c r="U24" s="18">
        <v>15</v>
      </c>
      <c r="V24" s="18">
        <v>16</v>
      </c>
      <c r="W24" s="18">
        <v>17</v>
      </c>
      <c r="X24" s="18">
        <v>18</v>
      </c>
      <c r="Y24" s="18">
        <v>19</v>
      </c>
      <c r="Z24" s="18">
        <v>20</v>
      </c>
      <c r="AA24" s="18">
        <v>21</v>
      </c>
      <c r="AB24" s="18">
        <v>22</v>
      </c>
      <c r="AC24" s="18">
        <v>23</v>
      </c>
      <c r="AD24" s="18">
        <v>24</v>
      </c>
      <c r="AE24" s="18">
        <v>25</v>
      </c>
      <c r="AF24" s="18">
        <v>26</v>
      </c>
      <c r="AG24" s="18">
        <v>27</v>
      </c>
      <c r="AH24" s="18">
        <v>28</v>
      </c>
      <c r="AI24" s="19"/>
    </row>
    <row r="25" spans="1:35" ht="13.5" thickBot="1">
      <c r="A25" s="426"/>
      <c r="B25" s="427" t="s">
        <v>452</v>
      </c>
      <c r="D25" s="17">
        <v>2022</v>
      </c>
      <c r="E25" s="17">
        <v>2023</v>
      </c>
      <c r="F25" s="17">
        <v>2024</v>
      </c>
      <c r="G25" s="17">
        <f t="shared" ref="G25:AH25" si="13">G$3</f>
        <v>2025</v>
      </c>
      <c r="H25" s="17">
        <f t="shared" si="13"/>
        <v>2026</v>
      </c>
      <c r="I25" s="17">
        <f t="shared" si="13"/>
        <v>2027</v>
      </c>
      <c r="J25" s="17">
        <f t="shared" si="13"/>
        <v>2028</v>
      </c>
      <c r="K25" s="17">
        <f t="shared" si="13"/>
        <v>2029</v>
      </c>
      <c r="L25" s="17">
        <f t="shared" si="13"/>
        <v>2030</v>
      </c>
      <c r="M25" s="17">
        <f t="shared" si="13"/>
        <v>2031</v>
      </c>
      <c r="N25" s="17">
        <f t="shared" si="13"/>
        <v>2032</v>
      </c>
      <c r="O25" s="17">
        <f t="shared" si="13"/>
        <v>2033</v>
      </c>
      <c r="P25" s="17">
        <f t="shared" si="13"/>
        <v>2034</v>
      </c>
      <c r="Q25" s="17">
        <f t="shared" si="13"/>
        <v>2035</v>
      </c>
      <c r="R25" s="17">
        <f t="shared" si="13"/>
        <v>2036</v>
      </c>
      <c r="S25" s="17">
        <f t="shared" si="13"/>
        <v>2037</v>
      </c>
      <c r="T25" s="17">
        <f t="shared" si="13"/>
        <v>2038</v>
      </c>
      <c r="U25" s="17">
        <f t="shared" si="13"/>
        <v>2039</v>
      </c>
      <c r="V25" s="17">
        <f t="shared" si="13"/>
        <v>2040</v>
      </c>
      <c r="W25" s="17">
        <f t="shared" si="13"/>
        <v>2041</v>
      </c>
      <c r="X25" s="17">
        <f t="shared" si="13"/>
        <v>2042</v>
      </c>
      <c r="Y25" s="17">
        <f t="shared" si="13"/>
        <v>2043</v>
      </c>
      <c r="Z25" s="17">
        <f t="shared" si="13"/>
        <v>2044</v>
      </c>
      <c r="AA25" s="17">
        <f t="shared" si="13"/>
        <v>2045</v>
      </c>
      <c r="AB25" s="17">
        <f t="shared" si="13"/>
        <v>2046</v>
      </c>
      <c r="AC25" s="17">
        <f t="shared" si="13"/>
        <v>2047</v>
      </c>
      <c r="AD25" s="17">
        <f t="shared" si="13"/>
        <v>2048</v>
      </c>
      <c r="AE25" s="17">
        <f t="shared" si="13"/>
        <v>2049</v>
      </c>
      <c r="AF25" s="17">
        <f t="shared" si="13"/>
        <v>2050</v>
      </c>
      <c r="AG25" s="17">
        <f t="shared" si="13"/>
        <v>2051</v>
      </c>
      <c r="AH25" s="17">
        <f t="shared" si="13"/>
        <v>2052</v>
      </c>
      <c r="AI25" s="19" t="s">
        <v>445</v>
      </c>
    </row>
    <row r="26" spans="1:35" ht="12.75" customHeight="1">
      <c r="A26" s="654" t="str">
        <f>A4</f>
        <v>I-44 - Part 1</v>
      </c>
      <c r="B26" s="654" t="s">
        <v>447</v>
      </c>
      <c r="C26" s="20" t="s">
        <v>77</v>
      </c>
      <c r="D26" s="37">
        <f t="shared" ref="D26:F29" si="14">D4</f>
        <v>0.5</v>
      </c>
      <c r="E26" s="37">
        <f t="shared" si="14"/>
        <v>0.5</v>
      </c>
      <c r="F26" s="37">
        <f t="shared" si="14"/>
        <v>0.5</v>
      </c>
      <c r="G26" s="21">
        <f t="shared" ref="G26:J29" si="15">ROUND((($AF26-$L26)/($AF$3-$L$3))*(G$3-$L$3)+$L26,1)</f>
        <v>0.6</v>
      </c>
      <c r="H26" s="21">
        <f t="shared" si="15"/>
        <v>0.6</v>
      </c>
      <c r="I26" s="21">
        <f t="shared" si="15"/>
        <v>0.6</v>
      </c>
      <c r="J26" s="21">
        <f t="shared" si="15"/>
        <v>0.6</v>
      </c>
      <c r="K26" s="21">
        <f>ROUND((($AF26-$L26)/($AF$3-$L$3))*(K$3-$L$3)+$L26,1)</f>
        <v>0.6</v>
      </c>
      <c r="L26" s="21">
        <v>0.6</v>
      </c>
      <c r="M26" s="21">
        <f t="shared" ref="M26:AB29" si="16">ROUND((($AF26-$L26)/($AF$3-$L$3))*(M$3-$L$3)+$L26,1)</f>
        <v>0.6</v>
      </c>
      <c r="N26" s="21">
        <f t="shared" si="16"/>
        <v>0.6</v>
      </c>
      <c r="O26" s="21">
        <f t="shared" si="16"/>
        <v>0.6</v>
      </c>
      <c r="P26" s="21">
        <f t="shared" si="16"/>
        <v>0.6</v>
      </c>
      <c r="Q26" s="21">
        <f t="shared" si="16"/>
        <v>0.7</v>
      </c>
      <c r="R26" s="21">
        <f t="shared" si="16"/>
        <v>0.7</v>
      </c>
      <c r="S26" s="21">
        <f t="shared" si="16"/>
        <v>0.7</v>
      </c>
      <c r="T26" s="21">
        <f t="shared" si="16"/>
        <v>0.7</v>
      </c>
      <c r="U26" s="21">
        <f t="shared" si="16"/>
        <v>0.7</v>
      </c>
      <c r="V26" s="21">
        <f t="shared" si="16"/>
        <v>0.7</v>
      </c>
      <c r="W26" s="21">
        <f t="shared" si="16"/>
        <v>0.7</v>
      </c>
      <c r="X26" s="21">
        <f t="shared" si="16"/>
        <v>0.7</v>
      </c>
      <c r="Y26" s="21">
        <f t="shared" si="16"/>
        <v>0.7</v>
      </c>
      <c r="Z26" s="21">
        <f t="shared" si="16"/>
        <v>0.7</v>
      </c>
      <c r="AA26" s="21">
        <f t="shared" si="16"/>
        <v>0.8</v>
      </c>
      <c r="AB26" s="21">
        <f t="shared" si="16"/>
        <v>0.8</v>
      </c>
      <c r="AC26" s="21">
        <f t="shared" ref="AC26:AH29" si="17">ROUND((($AF26-$L26)/($AF$3-$L$3))*(AC$3-$L$3)+$L26,1)</f>
        <v>0.8</v>
      </c>
      <c r="AD26" s="21">
        <f t="shared" si="17"/>
        <v>0.8</v>
      </c>
      <c r="AE26" s="21">
        <f t="shared" si="17"/>
        <v>0.8</v>
      </c>
      <c r="AF26" s="21">
        <v>0.8</v>
      </c>
      <c r="AG26" s="21">
        <f t="shared" si="17"/>
        <v>0.8</v>
      </c>
      <c r="AH26" s="21">
        <f t="shared" si="17"/>
        <v>0.8</v>
      </c>
      <c r="AI26" s="422">
        <f>SUM(G26:AH26)</f>
        <v>19.399999999999999</v>
      </c>
    </row>
    <row r="27" spans="1:35">
      <c r="A27" s="655"/>
      <c r="B27" s="655"/>
      <c r="C27" s="22" t="s">
        <v>78</v>
      </c>
      <c r="D27" s="38">
        <f t="shared" si="14"/>
        <v>1.2</v>
      </c>
      <c r="E27" s="38">
        <f t="shared" si="14"/>
        <v>1.2</v>
      </c>
      <c r="F27" s="38">
        <f t="shared" si="14"/>
        <v>1.2</v>
      </c>
      <c r="G27" s="23">
        <f t="shared" si="15"/>
        <v>1.7</v>
      </c>
      <c r="H27" s="23">
        <f t="shared" si="15"/>
        <v>1.7</v>
      </c>
      <c r="I27" s="23">
        <f t="shared" si="15"/>
        <v>1.8</v>
      </c>
      <c r="J27" s="23">
        <f t="shared" si="15"/>
        <v>1.8</v>
      </c>
      <c r="K27" s="23">
        <f>ROUND((($AF27-$L27)/($AF$3-$L$3))*(K$3-$L$3)+$L27,1)</f>
        <v>1.8</v>
      </c>
      <c r="L27" s="23">
        <v>1.8</v>
      </c>
      <c r="M27" s="23">
        <f t="shared" si="16"/>
        <v>1.8</v>
      </c>
      <c r="N27" s="23">
        <f t="shared" si="16"/>
        <v>1.8</v>
      </c>
      <c r="O27" s="23">
        <f t="shared" si="16"/>
        <v>1.8</v>
      </c>
      <c r="P27" s="23">
        <f t="shared" si="16"/>
        <v>1.9</v>
      </c>
      <c r="Q27" s="23">
        <f t="shared" si="16"/>
        <v>1.9</v>
      </c>
      <c r="R27" s="23">
        <f t="shared" si="16"/>
        <v>1.9</v>
      </c>
      <c r="S27" s="23">
        <f t="shared" si="16"/>
        <v>1.9</v>
      </c>
      <c r="T27" s="23">
        <f t="shared" si="16"/>
        <v>1.9</v>
      </c>
      <c r="U27" s="23">
        <f t="shared" si="16"/>
        <v>1.9</v>
      </c>
      <c r="V27" s="23">
        <f t="shared" si="16"/>
        <v>2</v>
      </c>
      <c r="W27" s="23">
        <f t="shared" si="16"/>
        <v>2</v>
      </c>
      <c r="X27" s="23">
        <f t="shared" si="16"/>
        <v>2</v>
      </c>
      <c r="Y27" s="23">
        <f t="shared" si="16"/>
        <v>2</v>
      </c>
      <c r="Z27" s="23">
        <f t="shared" si="16"/>
        <v>2</v>
      </c>
      <c r="AA27" s="23">
        <f t="shared" si="16"/>
        <v>2</v>
      </c>
      <c r="AB27" s="23">
        <f t="shared" si="16"/>
        <v>2</v>
      </c>
      <c r="AC27" s="23">
        <f t="shared" si="17"/>
        <v>2.1</v>
      </c>
      <c r="AD27" s="23">
        <f t="shared" si="17"/>
        <v>2.1</v>
      </c>
      <c r="AE27" s="23">
        <f t="shared" si="17"/>
        <v>2.1</v>
      </c>
      <c r="AF27" s="23">
        <v>2.1</v>
      </c>
      <c r="AG27" s="23">
        <f t="shared" si="17"/>
        <v>2.1</v>
      </c>
      <c r="AH27" s="23">
        <f t="shared" si="17"/>
        <v>2.1</v>
      </c>
      <c r="AI27" s="423">
        <f>SUM(G27:AH27)</f>
        <v>54</v>
      </c>
    </row>
    <row r="28" spans="1:35">
      <c r="A28" s="655"/>
      <c r="B28" s="655"/>
      <c r="C28" s="22" t="s">
        <v>79</v>
      </c>
      <c r="D28" s="38">
        <f t="shared" si="14"/>
        <v>24.1</v>
      </c>
      <c r="E28" s="38">
        <f t="shared" si="14"/>
        <v>24.4</v>
      </c>
      <c r="F28" s="38">
        <f t="shared" si="14"/>
        <v>24.7</v>
      </c>
      <c r="G28" s="23">
        <f t="shared" si="15"/>
        <v>27</v>
      </c>
      <c r="H28" s="23">
        <f t="shared" si="15"/>
        <v>27.3</v>
      </c>
      <c r="I28" s="23">
        <f t="shared" si="15"/>
        <v>27.6</v>
      </c>
      <c r="J28" s="23">
        <f t="shared" si="15"/>
        <v>27.9</v>
      </c>
      <c r="K28" s="23">
        <f>ROUND((($AF28-$L28)/($AF$3-$L$3))*(K$3-$L$3)+$L28,1)</f>
        <v>28.2</v>
      </c>
      <c r="L28" s="23">
        <f>9.7+18.8</f>
        <v>28.5</v>
      </c>
      <c r="M28" s="23">
        <f t="shared" si="16"/>
        <v>28.8</v>
      </c>
      <c r="N28" s="23">
        <f t="shared" si="16"/>
        <v>29.1</v>
      </c>
      <c r="O28" s="23">
        <f t="shared" si="16"/>
        <v>29.4</v>
      </c>
      <c r="P28" s="23">
        <f t="shared" si="16"/>
        <v>29.7</v>
      </c>
      <c r="Q28" s="23">
        <f t="shared" si="16"/>
        <v>30.1</v>
      </c>
      <c r="R28" s="23">
        <f t="shared" si="16"/>
        <v>30.4</v>
      </c>
      <c r="S28" s="23">
        <f t="shared" si="16"/>
        <v>30.7</v>
      </c>
      <c r="T28" s="23">
        <f t="shared" si="16"/>
        <v>31</v>
      </c>
      <c r="U28" s="23">
        <f t="shared" si="16"/>
        <v>31.3</v>
      </c>
      <c r="V28" s="23">
        <f t="shared" si="16"/>
        <v>31.6</v>
      </c>
      <c r="W28" s="23">
        <f t="shared" si="16"/>
        <v>31.9</v>
      </c>
      <c r="X28" s="23">
        <f t="shared" si="16"/>
        <v>32.200000000000003</v>
      </c>
      <c r="Y28" s="23">
        <f t="shared" si="16"/>
        <v>32.5</v>
      </c>
      <c r="Z28" s="23">
        <f t="shared" si="16"/>
        <v>32.799999999999997</v>
      </c>
      <c r="AA28" s="23">
        <f t="shared" si="16"/>
        <v>33.200000000000003</v>
      </c>
      <c r="AB28" s="23">
        <f t="shared" si="16"/>
        <v>33.5</v>
      </c>
      <c r="AC28" s="23">
        <f t="shared" si="17"/>
        <v>33.799999999999997</v>
      </c>
      <c r="AD28" s="23">
        <f t="shared" si="17"/>
        <v>34.1</v>
      </c>
      <c r="AE28" s="23">
        <f t="shared" si="17"/>
        <v>34.4</v>
      </c>
      <c r="AF28" s="23">
        <f>11.8+22.9</f>
        <v>34.700000000000003</v>
      </c>
      <c r="AG28" s="23">
        <f t="shared" si="17"/>
        <v>35</v>
      </c>
      <c r="AH28" s="23">
        <f t="shared" si="17"/>
        <v>35.299999999999997</v>
      </c>
      <c r="AI28" s="423">
        <f>SUM(G28:AH28)</f>
        <v>872</v>
      </c>
    </row>
    <row r="29" spans="1:35">
      <c r="A29" s="656"/>
      <c r="B29" s="656"/>
      <c r="C29" s="24" t="s">
        <v>448</v>
      </c>
      <c r="D29" s="268">
        <f t="shared" si="14"/>
        <v>65.2</v>
      </c>
      <c r="E29" s="268">
        <f t="shared" si="14"/>
        <v>66.3</v>
      </c>
      <c r="F29" s="268">
        <f t="shared" si="14"/>
        <v>67.3</v>
      </c>
      <c r="G29" s="25">
        <f t="shared" si="15"/>
        <v>47.2</v>
      </c>
      <c r="H29" s="25">
        <f t="shared" si="15"/>
        <v>48.6</v>
      </c>
      <c r="I29" s="25">
        <f t="shared" si="15"/>
        <v>50.1</v>
      </c>
      <c r="J29" s="25">
        <f t="shared" si="15"/>
        <v>51.6</v>
      </c>
      <c r="K29" s="25">
        <f>ROUND((($AF29-$L29)/($AF$3-$L$3))*(K$3-$L$3)+$L29,1)</f>
        <v>53.1</v>
      </c>
      <c r="L29" s="25">
        <v>54.6</v>
      </c>
      <c r="M29" s="25">
        <f t="shared" si="16"/>
        <v>56.1</v>
      </c>
      <c r="N29" s="25">
        <f t="shared" si="16"/>
        <v>57.6</v>
      </c>
      <c r="O29" s="25">
        <f t="shared" si="16"/>
        <v>59.1</v>
      </c>
      <c r="P29" s="25">
        <f t="shared" si="16"/>
        <v>60.6</v>
      </c>
      <c r="Q29" s="25">
        <f t="shared" si="16"/>
        <v>62.1</v>
      </c>
      <c r="R29" s="25">
        <f t="shared" si="16"/>
        <v>63.5</v>
      </c>
      <c r="S29" s="25">
        <f t="shared" si="16"/>
        <v>65</v>
      </c>
      <c r="T29" s="25">
        <f t="shared" si="16"/>
        <v>66.5</v>
      </c>
      <c r="U29" s="25">
        <f t="shared" si="16"/>
        <v>68</v>
      </c>
      <c r="V29" s="25">
        <f t="shared" si="16"/>
        <v>69.5</v>
      </c>
      <c r="W29" s="25">
        <f t="shared" si="16"/>
        <v>71</v>
      </c>
      <c r="X29" s="25">
        <f t="shared" si="16"/>
        <v>72.5</v>
      </c>
      <c r="Y29" s="25">
        <f t="shared" si="16"/>
        <v>74</v>
      </c>
      <c r="Z29" s="25">
        <f t="shared" si="16"/>
        <v>75.5</v>
      </c>
      <c r="AA29" s="25">
        <f t="shared" si="16"/>
        <v>77</v>
      </c>
      <c r="AB29" s="25">
        <f t="shared" si="16"/>
        <v>78.400000000000006</v>
      </c>
      <c r="AC29" s="25">
        <f t="shared" si="17"/>
        <v>79.900000000000006</v>
      </c>
      <c r="AD29" s="25">
        <f t="shared" si="17"/>
        <v>81.400000000000006</v>
      </c>
      <c r="AE29" s="25">
        <f t="shared" si="17"/>
        <v>82.9</v>
      </c>
      <c r="AF29" s="25">
        <v>84.4</v>
      </c>
      <c r="AG29" s="25">
        <f t="shared" si="17"/>
        <v>85.9</v>
      </c>
      <c r="AH29" s="25">
        <f t="shared" si="17"/>
        <v>87.4</v>
      </c>
      <c r="AI29" s="424">
        <f>SUM(G29:AH29)</f>
        <v>1883.5000000000007</v>
      </c>
    </row>
    <row r="30" spans="1:35" ht="13.5" thickBot="1">
      <c r="C30" s="22" t="s">
        <v>449</v>
      </c>
      <c r="D30" s="22"/>
      <c r="E30" s="22"/>
      <c r="F30" s="22"/>
      <c r="AI30" s="425">
        <f>SUM(AI26:AI29)</f>
        <v>2828.9000000000005</v>
      </c>
    </row>
    <row r="31" spans="1:35">
      <c r="G31" s="18">
        <v>1</v>
      </c>
      <c r="H31" s="18">
        <v>2</v>
      </c>
      <c r="I31" s="18">
        <v>3</v>
      </c>
      <c r="J31" s="18">
        <v>4</v>
      </c>
      <c r="K31" s="18">
        <v>5</v>
      </c>
      <c r="L31" s="18">
        <v>6</v>
      </c>
      <c r="M31" s="18">
        <v>7</v>
      </c>
      <c r="N31" s="18">
        <v>8</v>
      </c>
      <c r="O31" s="18">
        <v>9</v>
      </c>
      <c r="P31" s="18">
        <v>10</v>
      </c>
      <c r="Q31" s="18">
        <v>11</v>
      </c>
      <c r="R31" s="18">
        <v>12</v>
      </c>
      <c r="S31" s="18">
        <v>13</v>
      </c>
      <c r="T31" s="18">
        <v>14</v>
      </c>
      <c r="U31" s="18">
        <v>15</v>
      </c>
      <c r="V31" s="18">
        <v>16</v>
      </c>
      <c r="W31" s="18">
        <v>17</v>
      </c>
      <c r="X31" s="18">
        <v>18</v>
      </c>
      <c r="Y31" s="18">
        <v>19</v>
      </c>
      <c r="Z31" s="18">
        <v>20</v>
      </c>
      <c r="AA31" s="18">
        <v>21</v>
      </c>
      <c r="AB31" s="18">
        <v>22</v>
      </c>
      <c r="AC31" s="18">
        <v>23</v>
      </c>
      <c r="AD31" s="18">
        <v>24</v>
      </c>
      <c r="AE31" s="18">
        <v>25</v>
      </c>
      <c r="AF31" s="18">
        <v>26</v>
      </c>
      <c r="AG31" s="18">
        <v>27</v>
      </c>
      <c r="AH31" s="18">
        <v>28</v>
      </c>
      <c r="AI31" s="19"/>
    </row>
    <row r="32" spans="1:35" ht="13.5" thickBot="1">
      <c r="D32" s="17">
        <v>2022</v>
      </c>
      <c r="E32" s="17">
        <v>2023</v>
      </c>
      <c r="F32" s="17">
        <v>2024</v>
      </c>
      <c r="G32" s="17">
        <f t="shared" ref="G32:AH32" si="18">G$3</f>
        <v>2025</v>
      </c>
      <c r="H32" s="17">
        <f t="shared" si="18"/>
        <v>2026</v>
      </c>
      <c r="I32" s="17">
        <f t="shared" si="18"/>
        <v>2027</v>
      </c>
      <c r="J32" s="17">
        <f t="shared" si="18"/>
        <v>2028</v>
      </c>
      <c r="K32" s="17">
        <f t="shared" si="18"/>
        <v>2029</v>
      </c>
      <c r="L32" s="17">
        <f t="shared" si="18"/>
        <v>2030</v>
      </c>
      <c r="M32" s="17">
        <f t="shared" si="18"/>
        <v>2031</v>
      </c>
      <c r="N32" s="17">
        <f t="shared" si="18"/>
        <v>2032</v>
      </c>
      <c r="O32" s="17">
        <f t="shared" si="18"/>
        <v>2033</v>
      </c>
      <c r="P32" s="17">
        <f t="shared" si="18"/>
        <v>2034</v>
      </c>
      <c r="Q32" s="17">
        <f t="shared" si="18"/>
        <v>2035</v>
      </c>
      <c r="R32" s="17">
        <f t="shared" si="18"/>
        <v>2036</v>
      </c>
      <c r="S32" s="17">
        <f t="shared" si="18"/>
        <v>2037</v>
      </c>
      <c r="T32" s="17">
        <f t="shared" si="18"/>
        <v>2038</v>
      </c>
      <c r="U32" s="17">
        <f t="shared" si="18"/>
        <v>2039</v>
      </c>
      <c r="V32" s="17">
        <f t="shared" si="18"/>
        <v>2040</v>
      </c>
      <c r="W32" s="17">
        <f t="shared" si="18"/>
        <v>2041</v>
      </c>
      <c r="X32" s="17">
        <f t="shared" si="18"/>
        <v>2042</v>
      </c>
      <c r="Y32" s="17">
        <f t="shared" si="18"/>
        <v>2043</v>
      </c>
      <c r="Z32" s="17">
        <f t="shared" si="18"/>
        <v>2044</v>
      </c>
      <c r="AA32" s="17">
        <f t="shared" si="18"/>
        <v>2045</v>
      </c>
      <c r="AB32" s="17">
        <f t="shared" si="18"/>
        <v>2046</v>
      </c>
      <c r="AC32" s="17">
        <f t="shared" si="18"/>
        <v>2047</v>
      </c>
      <c r="AD32" s="17">
        <f t="shared" si="18"/>
        <v>2048</v>
      </c>
      <c r="AE32" s="17">
        <f t="shared" si="18"/>
        <v>2049</v>
      </c>
      <c r="AF32" s="17">
        <f t="shared" si="18"/>
        <v>2050</v>
      </c>
      <c r="AG32" s="17">
        <f t="shared" si="18"/>
        <v>2051</v>
      </c>
      <c r="AH32" s="17">
        <f t="shared" si="18"/>
        <v>2052</v>
      </c>
      <c r="AI32" s="19" t="s">
        <v>445</v>
      </c>
    </row>
    <row r="33" spans="1:35" ht="12.75" customHeight="1">
      <c r="A33" s="654" t="str">
        <f>A11</f>
        <v>I-44 - Part 2</v>
      </c>
      <c r="B33" s="654" t="s">
        <v>447</v>
      </c>
      <c r="C33" s="20" t="s">
        <v>77</v>
      </c>
      <c r="D33" s="37">
        <f t="shared" ref="D33:F36" si="19">D11</f>
        <v>0</v>
      </c>
      <c r="E33" s="37">
        <f t="shared" si="19"/>
        <v>0</v>
      </c>
      <c r="F33" s="37">
        <f t="shared" si="19"/>
        <v>0</v>
      </c>
      <c r="G33" s="21">
        <f t="shared" ref="G33:J36" si="20">ROUND((($AF33-$L33)/($AF$3-$L$3))*(G$3-$L$3)+$L33,1)</f>
        <v>0</v>
      </c>
      <c r="H33" s="21">
        <f t="shared" si="20"/>
        <v>0</v>
      </c>
      <c r="I33" s="21">
        <f t="shared" si="20"/>
        <v>0</v>
      </c>
      <c r="J33" s="21">
        <f t="shared" si="20"/>
        <v>0</v>
      </c>
      <c r="K33" s="21">
        <f>ROUND((($AF33-$L33)/($AF$3-$L$3))*(K$3-$L$3)+$L33,1)</f>
        <v>0</v>
      </c>
      <c r="L33" s="21">
        <v>0</v>
      </c>
      <c r="M33" s="21">
        <f t="shared" ref="M33:AB36" si="21">ROUND((($AF33-$L33)/($AF$3-$L$3))*(M$3-$L$3)+$L33,1)</f>
        <v>0</v>
      </c>
      <c r="N33" s="21">
        <f t="shared" si="21"/>
        <v>0</v>
      </c>
      <c r="O33" s="21">
        <f t="shared" si="21"/>
        <v>0</v>
      </c>
      <c r="P33" s="21">
        <f t="shared" si="21"/>
        <v>0</v>
      </c>
      <c r="Q33" s="21">
        <f t="shared" si="21"/>
        <v>0</v>
      </c>
      <c r="R33" s="21">
        <f t="shared" si="21"/>
        <v>0</v>
      </c>
      <c r="S33" s="21">
        <f t="shared" si="21"/>
        <v>0</v>
      </c>
      <c r="T33" s="21">
        <f t="shared" si="21"/>
        <v>0</v>
      </c>
      <c r="U33" s="21">
        <f t="shared" si="21"/>
        <v>0</v>
      </c>
      <c r="V33" s="21">
        <f t="shared" si="21"/>
        <v>0</v>
      </c>
      <c r="W33" s="21">
        <f t="shared" si="21"/>
        <v>0</v>
      </c>
      <c r="X33" s="21">
        <f t="shared" si="21"/>
        <v>0</v>
      </c>
      <c r="Y33" s="21">
        <f t="shared" si="21"/>
        <v>0</v>
      </c>
      <c r="Z33" s="21">
        <f t="shared" si="21"/>
        <v>0</v>
      </c>
      <c r="AA33" s="21">
        <f t="shared" si="21"/>
        <v>0</v>
      </c>
      <c r="AB33" s="21">
        <f t="shared" si="21"/>
        <v>0</v>
      </c>
      <c r="AC33" s="21">
        <f t="shared" ref="AC33:AH36" si="22">ROUND((($AF33-$L33)/($AF$3-$L$3))*(AC$3-$L$3)+$L33,1)</f>
        <v>0</v>
      </c>
      <c r="AD33" s="21">
        <f t="shared" si="22"/>
        <v>0</v>
      </c>
      <c r="AE33" s="21">
        <f t="shared" si="22"/>
        <v>0</v>
      </c>
      <c r="AF33" s="21">
        <v>0</v>
      </c>
      <c r="AG33" s="21">
        <f t="shared" si="22"/>
        <v>0</v>
      </c>
      <c r="AH33" s="21">
        <f t="shared" si="22"/>
        <v>0</v>
      </c>
      <c r="AI33" s="422">
        <f>SUM(G33:AH33)</f>
        <v>0</v>
      </c>
    </row>
    <row r="34" spans="1:35">
      <c r="A34" s="655"/>
      <c r="B34" s="655"/>
      <c r="C34" s="22" t="s">
        <v>78</v>
      </c>
      <c r="D34" s="38">
        <f t="shared" si="19"/>
        <v>0.1</v>
      </c>
      <c r="E34" s="38">
        <f t="shared" si="19"/>
        <v>0.1</v>
      </c>
      <c r="F34" s="38">
        <f t="shared" si="19"/>
        <v>0.1</v>
      </c>
      <c r="G34" s="23">
        <f t="shared" si="20"/>
        <v>0.1</v>
      </c>
      <c r="H34" s="23">
        <f t="shared" si="20"/>
        <v>0.1</v>
      </c>
      <c r="I34" s="23">
        <f t="shared" si="20"/>
        <v>0.1</v>
      </c>
      <c r="J34" s="23">
        <f t="shared" si="20"/>
        <v>0.1</v>
      </c>
      <c r="K34" s="23">
        <f>ROUND((($AF34-$L34)/($AF$3-$L$3))*(K$3-$L$3)+$L34,1)</f>
        <v>0.1</v>
      </c>
      <c r="L34" s="23">
        <v>0.1</v>
      </c>
      <c r="M34" s="23">
        <f t="shared" si="21"/>
        <v>0.1</v>
      </c>
      <c r="N34" s="23">
        <f t="shared" si="21"/>
        <v>0.1</v>
      </c>
      <c r="O34" s="23">
        <f t="shared" si="21"/>
        <v>0.1</v>
      </c>
      <c r="P34" s="23">
        <f t="shared" si="21"/>
        <v>0.1</v>
      </c>
      <c r="Q34" s="23">
        <f t="shared" si="21"/>
        <v>0.1</v>
      </c>
      <c r="R34" s="23">
        <f t="shared" si="21"/>
        <v>0.1</v>
      </c>
      <c r="S34" s="23">
        <f t="shared" si="21"/>
        <v>0.1</v>
      </c>
      <c r="T34" s="23">
        <f t="shared" si="21"/>
        <v>0.1</v>
      </c>
      <c r="U34" s="23">
        <f t="shared" si="21"/>
        <v>0.1</v>
      </c>
      <c r="V34" s="23">
        <f t="shared" si="21"/>
        <v>0.1</v>
      </c>
      <c r="W34" s="23">
        <f t="shared" si="21"/>
        <v>0.1</v>
      </c>
      <c r="X34" s="23">
        <f t="shared" si="21"/>
        <v>0.1</v>
      </c>
      <c r="Y34" s="23">
        <f t="shared" si="21"/>
        <v>0.1</v>
      </c>
      <c r="Z34" s="23">
        <f t="shared" si="21"/>
        <v>0.1</v>
      </c>
      <c r="AA34" s="23">
        <f t="shared" si="21"/>
        <v>0.1</v>
      </c>
      <c r="AB34" s="23">
        <f t="shared" si="21"/>
        <v>0.1</v>
      </c>
      <c r="AC34" s="23">
        <f t="shared" si="22"/>
        <v>0.1</v>
      </c>
      <c r="AD34" s="23">
        <f t="shared" si="22"/>
        <v>0.1</v>
      </c>
      <c r="AE34" s="23">
        <f t="shared" si="22"/>
        <v>0.1</v>
      </c>
      <c r="AF34" s="23">
        <v>0.1</v>
      </c>
      <c r="AG34" s="23">
        <f t="shared" si="22"/>
        <v>0.1</v>
      </c>
      <c r="AH34" s="23">
        <f t="shared" si="22"/>
        <v>0.1</v>
      </c>
      <c r="AI34" s="423">
        <f>SUM(G34:AH34)</f>
        <v>2.8000000000000012</v>
      </c>
    </row>
    <row r="35" spans="1:35">
      <c r="A35" s="655"/>
      <c r="B35" s="655"/>
      <c r="C35" s="22" t="s">
        <v>79</v>
      </c>
      <c r="D35" s="38">
        <f t="shared" si="19"/>
        <v>0.8</v>
      </c>
      <c r="E35" s="38">
        <f t="shared" si="19"/>
        <v>0.8</v>
      </c>
      <c r="F35" s="38">
        <f t="shared" si="19"/>
        <v>0.8</v>
      </c>
      <c r="G35" s="23">
        <f t="shared" si="20"/>
        <v>1.1000000000000001</v>
      </c>
      <c r="H35" s="23">
        <f t="shared" si="20"/>
        <v>1.1000000000000001</v>
      </c>
      <c r="I35" s="23">
        <f t="shared" si="20"/>
        <v>1.1000000000000001</v>
      </c>
      <c r="J35" s="23">
        <f t="shared" si="20"/>
        <v>1.1000000000000001</v>
      </c>
      <c r="K35" s="23">
        <f>ROUND((($AF35-$L35)/($AF$3-$L$3))*(K$3-$L$3)+$L35,1)</f>
        <v>1.1000000000000001</v>
      </c>
      <c r="L35" s="23">
        <f>0.4+0.7</f>
        <v>1.1000000000000001</v>
      </c>
      <c r="M35" s="23">
        <f t="shared" si="21"/>
        <v>1.1000000000000001</v>
      </c>
      <c r="N35" s="23">
        <f t="shared" si="21"/>
        <v>1.1000000000000001</v>
      </c>
      <c r="O35" s="23">
        <f t="shared" si="21"/>
        <v>1.1000000000000001</v>
      </c>
      <c r="P35" s="23">
        <f t="shared" si="21"/>
        <v>1.1000000000000001</v>
      </c>
      <c r="Q35" s="23">
        <f t="shared" si="21"/>
        <v>1.1000000000000001</v>
      </c>
      <c r="R35" s="23">
        <f t="shared" si="21"/>
        <v>1.1000000000000001</v>
      </c>
      <c r="S35" s="23">
        <f t="shared" si="21"/>
        <v>1.1000000000000001</v>
      </c>
      <c r="T35" s="23">
        <f t="shared" si="21"/>
        <v>1.1000000000000001</v>
      </c>
      <c r="U35" s="23">
        <f t="shared" si="21"/>
        <v>1.1000000000000001</v>
      </c>
      <c r="V35" s="23">
        <f t="shared" si="21"/>
        <v>1.2</v>
      </c>
      <c r="W35" s="23">
        <f t="shared" si="21"/>
        <v>1.2</v>
      </c>
      <c r="X35" s="23">
        <f t="shared" si="21"/>
        <v>1.2</v>
      </c>
      <c r="Y35" s="23">
        <f t="shared" si="21"/>
        <v>1.2</v>
      </c>
      <c r="Z35" s="23">
        <f t="shared" si="21"/>
        <v>1.2</v>
      </c>
      <c r="AA35" s="23">
        <f t="shared" si="21"/>
        <v>1.2</v>
      </c>
      <c r="AB35" s="23">
        <f t="shared" si="21"/>
        <v>1.2</v>
      </c>
      <c r="AC35" s="23">
        <f t="shared" si="22"/>
        <v>1.2</v>
      </c>
      <c r="AD35" s="23">
        <f t="shared" si="22"/>
        <v>1.2</v>
      </c>
      <c r="AE35" s="23">
        <f t="shared" si="22"/>
        <v>1.2</v>
      </c>
      <c r="AF35" s="23">
        <f>0.4+0.8</f>
        <v>1.2000000000000002</v>
      </c>
      <c r="AG35" s="23">
        <f t="shared" si="22"/>
        <v>1.2</v>
      </c>
      <c r="AH35" s="23">
        <f t="shared" si="22"/>
        <v>1.2</v>
      </c>
      <c r="AI35" s="423">
        <f>SUM(G35:AH35)</f>
        <v>32.099999999999987</v>
      </c>
    </row>
    <row r="36" spans="1:35">
      <c r="A36" s="656"/>
      <c r="B36" s="656"/>
      <c r="C36" s="24" t="s">
        <v>448</v>
      </c>
      <c r="D36" s="25">
        <f t="shared" si="19"/>
        <v>-0.2</v>
      </c>
      <c r="E36" s="25">
        <f t="shared" si="19"/>
        <v>0</v>
      </c>
      <c r="F36" s="25">
        <f t="shared" si="19"/>
        <v>0.1</v>
      </c>
      <c r="G36" s="25">
        <f t="shared" si="20"/>
        <v>2.5</v>
      </c>
      <c r="H36" s="25">
        <f t="shared" si="20"/>
        <v>2.5</v>
      </c>
      <c r="I36" s="25">
        <f t="shared" si="20"/>
        <v>2.5</v>
      </c>
      <c r="J36" s="25">
        <f t="shared" si="20"/>
        <v>2.5</v>
      </c>
      <c r="K36" s="25">
        <f>ROUND((($AF36-$L36)/($AF$3-$L$3))*(K$3-$L$3)+$L36,1)</f>
        <v>2.6</v>
      </c>
      <c r="L36" s="25">
        <v>2.6</v>
      </c>
      <c r="M36" s="25">
        <f t="shared" si="21"/>
        <v>2.6</v>
      </c>
      <c r="N36" s="25">
        <f t="shared" si="21"/>
        <v>2.7</v>
      </c>
      <c r="O36" s="25">
        <f t="shared" si="21"/>
        <v>2.7</v>
      </c>
      <c r="P36" s="25">
        <f t="shared" si="21"/>
        <v>2.7</v>
      </c>
      <c r="Q36" s="25">
        <f t="shared" si="21"/>
        <v>2.8</v>
      </c>
      <c r="R36" s="25">
        <f t="shared" si="21"/>
        <v>2.8</v>
      </c>
      <c r="S36" s="25">
        <f t="shared" si="21"/>
        <v>2.8</v>
      </c>
      <c r="T36" s="25">
        <f t="shared" si="21"/>
        <v>2.8</v>
      </c>
      <c r="U36" s="25">
        <f t="shared" si="21"/>
        <v>2.9</v>
      </c>
      <c r="V36" s="25">
        <f t="shared" si="21"/>
        <v>2.9</v>
      </c>
      <c r="W36" s="25">
        <f t="shared" si="21"/>
        <v>2.9</v>
      </c>
      <c r="X36" s="25">
        <f t="shared" si="21"/>
        <v>3</v>
      </c>
      <c r="Y36" s="25">
        <f t="shared" si="21"/>
        <v>3</v>
      </c>
      <c r="Z36" s="25">
        <f t="shared" si="21"/>
        <v>3</v>
      </c>
      <c r="AA36" s="25">
        <f t="shared" si="21"/>
        <v>3.1</v>
      </c>
      <c r="AB36" s="25">
        <f t="shared" si="21"/>
        <v>3.1</v>
      </c>
      <c r="AC36" s="25">
        <f t="shared" si="22"/>
        <v>3.1</v>
      </c>
      <c r="AD36" s="25">
        <f t="shared" si="22"/>
        <v>3.1</v>
      </c>
      <c r="AE36" s="25">
        <f t="shared" si="22"/>
        <v>3.2</v>
      </c>
      <c r="AF36" s="25">
        <v>3.2</v>
      </c>
      <c r="AG36" s="25">
        <f t="shared" si="22"/>
        <v>3.2</v>
      </c>
      <c r="AH36" s="25">
        <f t="shared" si="22"/>
        <v>3.3</v>
      </c>
      <c r="AI36" s="424">
        <f>SUM(G36:AH36)</f>
        <v>80.099999999999994</v>
      </c>
    </row>
    <row r="37" spans="1:35" ht="13.5" thickBot="1">
      <c r="C37" s="22" t="s">
        <v>449</v>
      </c>
      <c r="D37" s="22"/>
      <c r="E37" s="22"/>
      <c r="F37" s="22"/>
      <c r="AI37" s="425">
        <f>SUM(AI33:AI36)</f>
        <v>114.99999999999999</v>
      </c>
    </row>
    <row r="38" spans="1:35">
      <c r="G38" s="18">
        <v>1</v>
      </c>
      <c r="H38" s="18">
        <v>2</v>
      </c>
      <c r="I38" s="18">
        <v>3</v>
      </c>
      <c r="J38" s="18">
        <v>4</v>
      </c>
      <c r="K38" s="18">
        <v>5</v>
      </c>
      <c r="L38" s="18">
        <v>6</v>
      </c>
      <c r="M38" s="18">
        <v>7</v>
      </c>
      <c r="N38" s="18">
        <v>8</v>
      </c>
      <c r="O38" s="18">
        <v>9</v>
      </c>
      <c r="P38" s="18">
        <v>10</v>
      </c>
      <c r="Q38" s="18">
        <v>11</v>
      </c>
      <c r="R38" s="18">
        <v>12</v>
      </c>
      <c r="S38" s="18">
        <v>13</v>
      </c>
      <c r="T38" s="18">
        <v>14</v>
      </c>
      <c r="U38" s="18">
        <v>15</v>
      </c>
      <c r="V38" s="18">
        <v>16</v>
      </c>
      <c r="W38" s="18">
        <v>17</v>
      </c>
      <c r="X38" s="18">
        <v>18</v>
      </c>
      <c r="Y38" s="18">
        <v>19</v>
      </c>
      <c r="Z38" s="18">
        <v>20</v>
      </c>
      <c r="AA38" s="18">
        <v>21</v>
      </c>
      <c r="AB38" s="18">
        <v>22</v>
      </c>
      <c r="AC38" s="18">
        <v>23</v>
      </c>
      <c r="AD38" s="18">
        <v>24</v>
      </c>
      <c r="AE38" s="18">
        <v>25</v>
      </c>
      <c r="AF38" s="18">
        <v>26</v>
      </c>
      <c r="AG38" s="18">
        <v>27</v>
      </c>
      <c r="AH38" s="18">
        <v>28</v>
      </c>
      <c r="AI38" s="19"/>
    </row>
    <row r="39" spans="1:35" ht="13.5" thickBot="1">
      <c r="D39" s="17">
        <v>2022</v>
      </c>
      <c r="E39" s="17">
        <v>2023</v>
      </c>
      <c r="F39" s="17">
        <v>2024</v>
      </c>
      <c r="G39" s="17">
        <f t="shared" ref="G39:AH39" si="23">G$3</f>
        <v>2025</v>
      </c>
      <c r="H39" s="17">
        <f t="shared" si="23"/>
        <v>2026</v>
      </c>
      <c r="I39" s="17">
        <f t="shared" si="23"/>
        <v>2027</v>
      </c>
      <c r="J39" s="17">
        <f t="shared" si="23"/>
        <v>2028</v>
      </c>
      <c r="K39" s="17">
        <f t="shared" si="23"/>
        <v>2029</v>
      </c>
      <c r="L39" s="17">
        <f t="shared" si="23"/>
        <v>2030</v>
      </c>
      <c r="M39" s="17">
        <f t="shared" si="23"/>
        <v>2031</v>
      </c>
      <c r="N39" s="17">
        <f t="shared" si="23"/>
        <v>2032</v>
      </c>
      <c r="O39" s="17">
        <f t="shared" si="23"/>
        <v>2033</v>
      </c>
      <c r="P39" s="17">
        <f t="shared" si="23"/>
        <v>2034</v>
      </c>
      <c r="Q39" s="17">
        <f t="shared" si="23"/>
        <v>2035</v>
      </c>
      <c r="R39" s="17">
        <f t="shared" si="23"/>
        <v>2036</v>
      </c>
      <c r="S39" s="17">
        <f t="shared" si="23"/>
        <v>2037</v>
      </c>
      <c r="T39" s="17">
        <f t="shared" si="23"/>
        <v>2038</v>
      </c>
      <c r="U39" s="17">
        <f t="shared" si="23"/>
        <v>2039</v>
      </c>
      <c r="V39" s="17">
        <f t="shared" si="23"/>
        <v>2040</v>
      </c>
      <c r="W39" s="17">
        <f t="shared" si="23"/>
        <v>2041</v>
      </c>
      <c r="X39" s="17">
        <f t="shared" si="23"/>
        <v>2042</v>
      </c>
      <c r="Y39" s="17">
        <f t="shared" si="23"/>
        <v>2043</v>
      </c>
      <c r="Z39" s="17">
        <f t="shared" si="23"/>
        <v>2044</v>
      </c>
      <c r="AA39" s="17">
        <f t="shared" si="23"/>
        <v>2045</v>
      </c>
      <c r="AB39" s="17">
        <f t="shared" si="23"/>
        <v>2046</v>
      </c>
      <c r="AC39" s="17">
        <f t="shared" si="23"/>
        <v>2047</v>
      </c>
      <c r="AD39" s="17">
        <f t="shared" si="23"/>
        <v>2048</v>
      </c>
      <c r="AE39" s="17">
        <f t="shared" si="23"/>
        <v>2049</v>
      </c>
      <c r="AF39" s="17">
        <f t="shared" si="23"/>
        <v>2050</v>
      </c>
      <c r="AG39" s="17">
        <f t="shared" si="23"/>
        <v>2051</v>
      </c>
      <c r="AH39" s="17">
        <f t="shared" si="23"/>
        <v>2052</v>
      </c>
      <c r="AI39" s="19" t="s">
        <v>445</v>
      </c>
    </row>
    <row r="40" spans="1:35" ht="12.75" customHeight="1">
      <c r="A40" s="654" t="str">
        <f>A18</f>
        <v xml:space="preserve"> MO 13 &amp; Local Roads Urban</v>
      </c>
      <c r="B40" s="654" t="s">
        <v>447</v>
      </c>
      <c r="C40" s="20" t="s">
        <v>77</v>
      </c>
      <c r="D40" s="37">
        <f t="shared" ref="D40:F43" si="24">D18</f>
        <v>0.1</v>
      </c>
      <c r="E40" s="37">
        <f t="shared" si="24"/>
        <v>0.1</v>
      </c>
      <c r="F40" s="37">
        <f t="shared" si="24"/>
        <v>0.1</v>
      </c>
      <c r="G40" s="21">
        <f t="shared" ref="G40:K43" si="25">ROUND((($AF40-$L40)/($AF$3-$L$3))*(G$3-$L$3)+$L40,1)</f>
        <v>0.1</v>
      </c>
      <c r="H40" s="21">
        <f t="shared" si="25"/>
        <v>0.1</v>
      </c>
      <c r="I40" s="21">
        <f t="shared" si="25"/>
        <v>0.1</v>
      </c>
      <c r="J40" s="21">
        <f t="shared" si="25"/>
        <v>0.1</v>
      </c>
      <c r="K40" s="21">
        <f t="shared" si="25"/>
        <v>0.1</v>
      </c>
      <c r="L40" s="21">
        <v>0.05</v>
      </c>
      <c r="M40" s="21">
        <f t="shared" ref="M40:V43" si="26">ROUND((($AF40-$L40)/($AF$3-$L$3))*(M$3-$L$3)+$L40,1)</f>
        <v>0.1</v>
      </c>
      <c r="N40" s="21">
        <f t="shared" si="26"/>
        <v>0.1</v>
      </c>
      <c r="O40" s="21">
        <f t="shared" si="26"/>
        <v>0.1</v>
      </c>
      <c r="P40" s="21">
        <f t="shared" si="26"/>
        <v>0.1</v>
      </c>
      <c r="Q40" s="21">
        <f t="shared" si="26"/>
        <v>0.1</v>
      </c>
      <c r="R40" s="21">
        <f t="shared" si="26"/>
        <v>0.1</v>
      </c>
      <c r="S40" s="21">
        <f t="shared" si="26"/>
        <v>0.1</v>
      </c>
      <c r="T40" s="21">
        <f t="shared" si="26"/>
        <v>0.1</v>
      </c>
      <c r="U40" s="21">
        <f t="shared" si="26"/>
        <v>0.1</v>
      </c>
      <c r="V40" s="21">
        <f t="shared" si="26"/>
        <v>0.1</v>
      </c>
      <c r="W40" s="21">
        <f t="shared" ref="W40:AE43" si="27">ROUND((($AF40-$L40)/($AF$3-$L$3))*(W$3-$L$3)+$L40,1)</f>
        <v>0.1</v>
      </c>
      <c r="X40" s="21">
        <f t="shared" si="27"/>
        <v>0.1</v>
      </c>
      <c r="Y40" s="21">
        <f t="shared" si="27"/>
        <v>0.1</v>
      </c>
      <c r="Z40" s="21">
        <f t="shared" si="27"/>
        <v>0.1</v>
      </c>
      <c r="AA40" s="21">
        <f t="shared" si="27"/>
        <v>0.1</v>
      </c>
      <c r="AB40" s="21">
        <f t="shared" si="27"/>
        <v>0.1</v>
      </c>
      <c r="AC40" s="21">
        <f t="shared" si="27"/>
        <v>0.1</v>
      </c>
      <c r="AD40" s="21">
        <f t="shared" si="27"/>
        <v>0.1</v>
      </c>
      <c r="AE40" s="21">
        <f t="shared" si="27"/>
        <v>0.1</v>
      </c>
      <c r="AF40" s="21">
        <v>0.05</v>
      </c>
      <c r="AG40" s="21">
        <f t="shared" ref="AG40:AH43" si="28">ROUND((($AF40-$L40)/($AF$3-$L$3))*(AG$3-$L$3)+$L40,1)</f>
        <v>0.1</v>
      </c>
      <c r="AH40" s="21">
        <f t="shared" si="28"/>
        <v>0.1</v>
      </c>
      <c r="AI40" s="422">
        <f>SUM(G40:AH40)</f>
        <v>2.7000000000000011</v>
      </c>
    </row>
    <row r="41" spans="1:35">
      <c r="A41" s="655"/>
      <c r="B41" s="655"/>
      <c r="C41" s="22" t="s">
        <v>78</v>
      </c>
      <c r="D41" s="38">
        <f t="shared" si="24"/>
        <v>0.1</v>
      </c>
      <c r="E41" s="38">
        <f t="shared" si="24"/>
        <v>0.1</v>
      </c>
      <c r="F41" s="38">
        <f t="shared" si="24"/>
        <v>0.1</v>
      </c>
      <c r="G41" s="23">
        <f t="shared" si="25"/>
        <v>0.1</v>
      </c>
      <c r="H41" s="23">
        <f t="shared" si="25"/>
        <v>0.1</v>
      </c>
      <c r="I41" s="23">
        <f t="shared" si="25"/>
        <v>0.1</v>
      </c>
      <c r="J41" s="23">
        <f t="shared" si="25"/>
        <v>0.1</v>
      </c>
      <c r="K41" s="23">
        <f t="shared" si="25"/>
        <v>0.1</v>
      </c>
      <c r="L41" s="23">
        <v>0.09</v>
      </c>
      <c r="M41" s="23">
        <f t="shared" si="26"/>
        <v>0.1</v>
      </c>
      <c r="N41" s="23">
        <f t="shared" si="26"/>
        <v>0.1</v>
      </c>
      <c r="O41" s="23">
        <f t="shared" si="26"/>
        <v>0.1</v>
      </c>
      <c r="P41" s="23">
        <f t="shared" si="26"/>
        <v>0.1</v>
      </c>
      <c r="Q41" s="23">
        <f t="shared" si="26"/>
        <v>0.1</v>
      </c>
      <c r="R41" s="23">
        <f t="shared" si="26"/>
        <v>0.1</v>
      </c>
      <c r="S41" s="23">
        <f t="shared" si="26"/>
        <v>0.1</v>
      </c>
      <c r="T41" s="23">
        <f t="shared" si="26"/>
        <v>0.1</v>
      </c>
      <c r="U41" s="23">
        <f t="shared" si="26"/>
        <v>0.1</v>
      </c>
      <c r="V41" s="23">
        <f t="shared" si="26"/>
        <v>0.1</v>
      </c>
      <c r="W41" s="23">
        <f t="shared" si="27"/>
        <v>0.1</v>
      </c>
      <c r="X41" s="23">
        <f t="shared" si="27"/>
        <v>0.1</v>
      </c>
      <c r="Y41" s="23">
        <f t="shared" si="27"/>
        <v>0.1</v>
      </c>
      <c r="Z41" s="23">
        <f t="shared" si="27"/>
        <v>0.1</v>
      </c>
      <c r="AA41" s="23">
        <f t="shared" si="27"/>
        <v>0.1</v>
      </c>
      <c r="AB41" s="23">
        <f t="shared" si="27"/>
        <v>0.1</v>
      </c>
      <c r="AC41" s="23">
        <f t="shared" si="27"/>
        <v>0.1</v>
      </c>
      <c r="AD41" s="23">
        <f t="shared" si="27"/>
        <v>0.1</v>
      </c>
      <c r="AE41" s="23">
        <f t="shared" si="27"/>
        <v>0.1</v>
      </c>
      <c r="AF41" s="23">
        <v>0.1</v>
      </c>
      <c r="AG41" s="23">
        <f t="shared" si="28"/>
        <v>0.1</v>
      </c>
      <c r="AH41" s="23">
        <f t="shared" si="28"/>
        <v>0.1</v>
      </c>
      <c r="AI41" s="423">
        <f>SUM(G41:AH41)</f>
        <v>2.7900000000000014</v>
      </c>
    </row>
    <row r="42" spans="1:35">
      <c r="A42" s="655"/>
      <c r="B42" s="655"/>
      <c r="C42" s="22" t="s">
        <v>79</v>
      </c>
      <c r="D42" s="38">
        <f t="shared" si="24"/>
        <v>1.4</v>
      </c>
      <c r="E42" s="38">
        <f t="shared" si="24"/>
        <v>1.4</v>
      </c>
      <c r="F42" s="38">
        <f t="shared" si="24"/>
        <v>1.4</v>
      </c>
      <c r="G42" s="23">
        <f t="shared" si="25"/>
        <v>1.1000000000000001</v>
      </c>
      <c r="H42" s="23">
        <f t="shared" si="25"/>
        <v>1.1000000000000001</v>
      </c>
      <c r="I42" s="23">
        <f t="shared" si="25"/>
        <v>1.1000000000000001</v>
      </c>
      <c r="J42" s="23">
        <f t="shared" si="25"/>
        <v>1.1000000000000001</v>
      </c>
      <c r="K42" s="23">
        <f t="shared" si="25"/>
        <v>1.1000000000000001</v>
      </c>
      <c r="L42" s="23">
        <v>1.08</v>
      </c>
      <c r="M42" s="23">
        <f t="shared" si="26"/>
        <v>1.1000000000000001</v>
      </c>
      <c r="N42" s="23">
        <f t="shared" si="26"/>
        <v>1.1000000000000001</v>
      </c>
      <c r="O42" s="23">
        <f t="shared" si="26"/>
        <v>1.1000000000000001</v>
      </c>
      <c r="P42" s="23">
        <f t="shared" si="26"/>
        <v>1.1000000000000001</v>
      </c>
      <c r="Q42" s="23">
        <f t="shared" si="26"/>
        <v>1.1000000000000001</v>
      </c>
      <c r="R42" s="23">
        <f t="shared" si="26"/>
        <v>1.1000000000000001</v>
      </c>
      <c r="S42" s="23">
        <f t="shared" si="26"/>
        <v>1.1000000000000001</v>
      </c>
      <c r="T42" s="23">
        <f t="shared" si="26"/>
        <v>1.1000000000000001</v>
      </c>
      <c r="U42" s="23">
        <f t="shared" si="26"/>
        <v>1.1000000000000001</v>
      </c>
      <c r="V42" s="23">
        <f t="shared" si="26"/>
        <v>1.1000000000000001</v>
      </c>
      <c r="W42" s="23">
        <f t="shared" si="27"/>
        <v>1.1000000000000001</v>
      </c>
      <c r="X42" s="23">
        <f t="shared" si="27"/>
        <v>1.1000000000000001</v>
      </c>
      <c r="Y42" s="23">
        <f t="shared" si="27"/>
        <v>1.1000000000000001</v>
      </c>
      <c r="Z42" s="23">
        <f t="shared" si="27"/>
        <v>1.2</v>
      </c>
      <c r="AA42" s="23">
        <f t="shared" si="27"/>
        <v>1.2</v>
      </c>
      <c r="AB42" s="23">
        <f t="shared" si="27"/>
        <v>1.2</v>
      </c>
      <c r="AC42" s="23">
        <f t="shared" si="27"/>
        <v>1.2</v>
      </c>
      <c r="AD42" s="23">
        <f t="shared" si="27"/>
        <v>1.2</v>
      </c>
      <c r="AE42" s="23">
        <f t="shared" si="27"/>
        <v>1.2</v>
      </c>
      <c r="AF42" s="23">
        <v>1.18</v>
      </c>
      <c r="AG42" s="23">
        <f t="shared" si="28"/>
        <v>1.2</v>
      </c>
      <c r="AH42" s="23">
        <f t="shared" si="28"/>
        <v>1.2</v>
      </c>
      <c r="AI42" s="423">
        <f>SUM(G42:AH42)</f>
        <v>31.659999999999997</v>
      </c>
    </row>
    <row r="43" spans="1:35">
      <c r="A43" s="656"/>
      <c r="B43" s="656"/>
      <c r="C43" s="24" t="s">
        <v>448</v>
      </c>
      <c r="D43" s="25">
        <f t="shared" si="24"/>
        <v>8.6</v>
      </c>
      <c r="E43" s="25">
        <f t="shared" si="24"/>
        <v>8.6999999999999993</v>
      </c>
      <c r="F43" s="25">
        <f t="shared" si="24"/>
        <v>8.6999999999999993</v>
      </c>
      <c r="G43" s="25">
        <f t="shared" si="25"/>
        <v>7</v>
      </c>
      <c r="H43" s="25">
        <f t="shared" si="25"/>
        <v>7</v>
      </c>
      <c r="I43" s="25">
        <f t="shared" si="25"/>
        <v>7.1</v>
      </c>
      <c r="J43" s="25">
        <f t="shared" si="25"/>
        <v>7.1</v>
      </c>
      <c r="K43" s="25">
        <f t="shared" si="25"/>
        <v>7.2</v>
      </c>
      <c r="L43" s="25">
        <v>7.2</v>
      </c>
      <c r="M43" s="25">
        <f t="shared" si="26"/>
        <v>7.2</v>
      </c>
      <c r="N43" s="25">
        <f t="shared" si="26"/>
        <v>7.3</v>
      </c>
      <c r="O43" s="25">
        <f t="shared" si="26"/>
        <v>7.3</v>
      </c>
      <c r="P43" s="25">
        <f t="shared" si="26"/>
        <v>7.4</v>
      </c>
      <c r="Q43" s="25">
        <f t="shared" si="26"/>
        <v>7.4</v>
      </c>
      <c r="R43" s="25">
        <f t="shared" si="26"/>
        <v>7.4</v>
      </c>
      <c r="S43" s="25">
        <f t="shared" si="26"/>
        <v>7.5</v>
      </c>
      <c r="T43" s="25">
        <f t="shared" si="26"/>
        <v>7.5</v>
      </c>
      <c r="U43" s="25">
        <f t="shared" si="26"/>
        <v>7.6</v>
      </c>
      <c r="V43" s="25">
        <f t="shared" si="26"/>
        <v>7.6</v>
      </c>
      <c r="W43" s="25">
        <f t="shared" si="27"/>
        <v>7.6</v>
      </c>
      <c r="X43" s="25">
        <f t="shared" si="27"/>
        <v>7.7</v>
      </c>
      <c r="Y43" s="25">
        <f t="shared" si="27"/>
        <v>7.7</v>
      </c>
      <c r="Z43" s="25">
        <f t="shared" si="27"/>
        <v>7.8</v>
      </c>
      <c r="AA43" s="25">
        <f t="shared" si="27"/>
        <v>7.8</v>
      </c>
      <c r="AB43" s="25">
        <f t="shared" si="27"/>
        <v>7.8</v>
      </c>
      <c r="AC43" s="25">
        <f t="shared" si="27"/>
        <v>7.9</v>
      </c>
      <c r="AD43" s="25">
        <f t="shared" si="27"/>
        <v>7.9</v>
      </c>
      <c r="AE43" s="25">
        <f t="shared" si="27"/>
        <v>8</v>
      </c>
      <c r="AF43" s="25">
        <v>8</v>
      </c>
      <c r="AG43" s="25">
        <f t="shared" si="28"/>
        <v>8</v>
      </c>
      <c r="AH43" s="25">
        <f t="shared" si="28"/>
        <v>8.1</v>
      </c>
      <c r="AI43" s="424">
        <f>SUM(G43:AH43)</f>
        <v>211.10000000000002</v>
      </c>
    </row>
    <row r="44" spans="1:35" ht="13.5" thickBot="1">
      <c r="C44" s="22" t="s">
        <v>449</v>
      </c>
      <c r="D44" s="22"/>
      <c r="E44" s="22"/>
      <c r="F44" s="22"/>
      <c r="AI44" s="425">
        <f>SUM(AI40:AI43)</f>
        <v>248.25000000000003</v>
      </c>
    </row>
    <row r="45" spans="1:35">
      <c r="C45" s="22"/>
      <c r="D45" s="22"/>
      <c r="E45" s="22"/>
      <c r="F45" s="22"/>
      <c r="AI45" s="19"/>
    </row>
    <row r="46" spans="1:35">
      <c r="B46" s="16"/>
      <c r="G46" s="18">
        <v>1</v>
      </c>
      <c r="H46" s="18">
        <v>2</v>
      </c>
      <c r="I46" s="18">
        <v>3</v>
      </c>
      <c r="J46" s="18">
        <v>4</v>
      </c>
      <c r="K46" s="18">
        <v>5</v>
      </c>
      <c r="L46" s="18">
        <v>6</v>
      </c>
      <c r="M46" s="18">
        <v>7</v>
      </c>
      <c r="N46" s="18">
        <v>8</v>
      </c>
      <c r="O46" s="18">
        <v>9</v>
      </c>
      <c r="P46" s="18">
        <v>10</v>
      </c>
      <c r="Q46" s="18">
        <v>11</v>
      </c>
      <c r="R46" s="18">
        <v>12</v>
      </c>
      <c r="S46" s="18">
        <v>13</v>
      </c>
      <c r="T46" s="18">
        <v>14</v>
      </c>
      <c r="U46" s="18">
        <v>15</v>
      </c>
      <c r="V46" s="18">
        <v>16</v>
      </c>
      <c r="W46" s="18">
        <v>17</v>
      </c>
      <c r="X46" s="18">
        <v>18</v>
      </c>
      <c r="Y46" s="18">
        <v>19</v>
      </c>
      <c r="Z46" s="18">
        <v>20</v>
      </c>
      <c r="AA46" s="18">
        <v>21</v>
      </c>
      <c r="AB46" s="18">
        <v>22</v>
      </c>
      <c r="AC46" s="18">
        <v>23</v>
      </c>
      <c r="AD46" s="18">
        <v>24</v>
      </c>
      <c r="AE46" s="18">
        <v>25</v>
      </c>
      <c r="AF46" s="18">
        <v>26</v>
      </c>
      <c r="AG46" s="18">
        <v>27</v>
      </c>
      <c r="AH46" s="18">
        <v>28</v>
      </c>
      <c r="AI46" s="19"/>
    </row>
    <row r="47" spans="1:35" ht="13.5" thickBot="1">
      <c r="A47" s="428"/>
      <c r="B47" s="429" t="s">
        <v>453</v>
      </c>
      <c r="D47" s="17">
        <v>2022</v>
      </c>
      <c r="E47" s="17">
        <v>2023</v>
      </c>
      <c r="F47" s="17">
        <v>2024</v>
      </c>
      <c r="G47" s="17">
        <f t="shared" ref="G47:AH47" si="29">G$3</f>
        <v>2025</v>
      </c>
      <c r="H47" s="17">
        <f t="shared" si="29"/>
        <v>2026</v>
      </c>
      <c r="I47" s="17">
        <f t="shared" si="29"/>
        <v>2027</v>
      </c>
      <c r="J47" s="17">
        <f t="shared" si="29"/>
        <v>2028</v>
      </c>
      <c r="K47" s="17">
        <f t="shared" si="29"/>
        <v>2029</v>
      </c>
      <c r="L47" s="17">
        <f t="shared" si="29"/>
        <v>2030</v>
      </c>
      <c r="M47" s="17">
        <f t="shared" si="29"/>
        <v>2031</v>
      </c>
      <c r="N47" s="17">
        <f t="shared" si="29"/>
        <v>2032</v>
      </c>
      <c r="O47" s="17">
        <f t="shared" si="29"/>
        <v>2033</v>
      </c>
      <c r="P47" s="17">
        <f t="shared" si="29"/>
        <v>2034</v>
      </c>
      <c r="Q47" s="17">
        <f t="shared" si="29"/>
        <v>2035</v>
      </c>
      <c r="R47" s="17">
        <f t="shared" si="29"/>
        <v>2036</v>
      </c>
      <c r="S47" s="17">
        <f t="shared" si="29"/>
        <v>2037</v>
      </c>
      <c r="T47" s="17">
        <f t="shared" si="29"/>
        <v>2038</v>
      </c>
      <c r="U47" s="17">
        <f t="shared" si="29"/>
        <v>2039</v>
      </c>
      <c r="V47" s="17">
        <f t="shared" si="29"/>
        <v>2040</v>
      </c>
      <c r="W47" s="17">
        <f t="shared" si="29"/>
        <v>2041</v>
      </c>
      <c r="X47" s="17">
        <f t="shared" si="29"/>
        <v>2042</v>
      </c>
      <c r="Y47" s="17">
        <f t="shared" si="29"/>
        <v>2043</v>
      </c>
      <c r="Z47" s="17">
        <f t="shared" si="29"/>
        <v>2044</v>
      </c>
      <c r="AA47" s="17">
        <f t="shared" si="29"/>
        <v>2045</v>
      </c>
      <c r="AB47" s="17">
        <f t="shared" si="29"/>
        <v>2046</v>
      </c>
      <c r="AC47" s="17">
        <f t="shared" si="29"/>
        <v>2047</v>
      </c>
      <c r="AD47" s="17">
        <f t="shared" si="29"/>
        <v>2048</v>
      </c>
      <c r="AE47" s="17">
        <f t="shared" si="29"/>
        <v>2049</v>
      </c>
      <c r="AF47" s="17">
        <f t="shared" si="29"/>
        <v>2050</v>
      </c>
      <c r="AG47" s="17">
        <f t="shared" si="29"/>
        <v>2051</v>
      </c>
      <c r="AH47" s="17">
        <f t="shared" si="29"/>
        <v>2052</v>
      </c>
      <c r="AI47" s="19" t="s">
        <v>445</v>
      </c>
    </row>
    <row r="48" spans="1:35">
      <c r="A48" s="651" t="str">
        <f>A26</f>
        <v>I-44 - Part 1</v>
      </c>
      <c r="B48" s="651" t="s">
        <v>447</v>
      </c>
      <c r="C48" s="20" t="s">
        <v>77</v>
      </c>
      <c r="D48" s="261">
        <f t="shared" ref="D48:AH48" si="30">D26-D4</f>
        <v>0</v>
      </c>
      <c r="E48" s="261">
        <f t="shared" si="30"/>
        <v>0</v>
      </c>
      <c r="F48" s="261">
        <f t="shared" si="30"/>
        <v>0</v>
      </c>
      <c r="G48" s="261">
        <f t="shared" si="30"/>
        <v>9.9999999999999978E-2</v>
      </c>
      <c r="H48" s="261">
        <f t="shared" si="30"/>
        <v>9.9999999999999978E-2</v>
      </c>
      <c r="I48" s="261">
        <f t="shared" si="30"/>
        <v>9.9999999999999978E-2</v>
      </c>
      <c r="J48" s="261">
        <f t="shared" si="30"/>
        <v>9.9999999999999978E-2</v>
      </c>
      <c r="K48" s="261">
        <f t="shared" si="30"/>
        <v>9.9999999999999978E-2</v>
      </c>
      <c r="L48" s="261">
        <f t="shared" si="30"/>
        <v>9.9999999999999978E-2</v>
      </c>
      <c r="M48" s="261">
        <f t="shared" si="30"/>
        <v>9.9999999999999978E-2</v>
      </c>
      <c r="N48" s="261">
        <f t="shared" si="30"/>
        <v>9.9999999999999978E-2</v>
      </c>
      <c r="O48" s="261">
        <f t="shared" si="30"/>
        <v>9.9999999999999978E-2</v>
      </c>
      <c r="P48" s="261">
        <f t="shared" si="30"/>
        <v>9.9999999999999978E-2</v>
      </c>
      <c r="Q48" s="261">
        <f t="shared" si="30"/>
        <v>0.19999999999999996</v>
      </c>
      <c r="R48" s="261">
        <f t="shared" si="30"/>
        <v>0.19999999999999996</v>
      </c>
      <c r="S48" s="261">
        <f t="shared" si="30"/>
        <v>0.19999999999999996</v>
      </c>
      <c r="T48" s="261">
        <f t="shared" si="30"/>
        <v>0.19999999999999996</v>
      </c>
      <c r="U48" s="261">
        <f t="shared" si="30"/>
        <v>0.19999999999999996</v>
      </c>
      <c r="V48" s="261">
        <f t="shared" si="30"/>
        <v>9.9999999999999978E-2</v>
      </c>
      <c r="W48" s="261">
        <f t="shared" si="30"/>
        <v>9.9999999999999978E-2</v>
      </c>
      <c r="X48" s="261">
        <f t="shared" si="30"/>
        <v>9.9999999999999978E-2</v>
      </c>
      <c r="Y48" s="261">
        <f t="shared" si="30"/>
        <v>9.9999999999999978E-2</v>
      </c>
      <c r="Z48" s="261">
        <f t="shared" si="30"/>
        <v>9.9999999999999978E-2</v>
      </c>
      <c r="AA48" s="261">
        <f t="shared" si="30"/>
        <v>0.20000000000000007</v>
      </c>
      <c r="AB48" s="261">
        <f t="shared" si="30"/>
        <v>0.20000000000000007</v>
      </c>
      <c r="AC48" s="261">
        <f t="shared" si="30"/>
        <v>0.20000000000000007</v>
      </c>
      <c r="AD48" s="261">
        <f t="shared" si="30"/>
        <v>0.20000000000000007</v>
      </c>
      <c r="AE48" s="261">
        <f t="shared" si="30"/>
        <v>0.20000000000000007</v>
      </c>
      <c r="AF48" s="261">
        <f t="shared" si="30"/>
        <v>0.20000000000000007</v>
      </c>
      <c r="AG48" s="261">
        <f t="shared" si="30"/>
        <v>0.20000000000000007</v>
      </c>
      <c r="AH48" s="261">
        <f t="shared" si="30"/>
        <v>0.20000000000000007</v>
      </c>
      <c r="AI48" s="430">
        <f>ROUND(SUM(G48:AH48),1)</f>
        <v>4.0999999999999996</v>
      </c>
    </row>
    <row r="49" spans="1:35">
      <c r="A49" s="652"/>
      <c r="B49" s="652"/>
      <c r="C49" s="22" t="s">
        <v>78</v>
      </c>
      <c r="D49" s="434">
        <f t="shared" ref="D49:AH49" si="31">D27-D5</f>
        <v>0</v>
      </c>
      <c r="E49" s="434">
        <f t="shared" si="31"/>
        <v>0</v>
      </c>
      <c r="F49" s="434">
        <f t="shared" si="31"/>
        <v>0</v>
      </c>
      <c r="G49" s="434">
        <f t="shared" si="31"/>
        <v>0.5</v>
      </c>
      <c r="H49" s="434">
        <f t="shared" si="31"/>
        <v>0.5</v>
      </c>
      <c r="I49" s="434">
        <f t="shared" si="31"/>
        <v>0.5</v>
      </c>
      <c r="J49" s="434">
        <f t="shared" si="31"/>
        <v>0.5</v>
      </c>
      <c r="K49" s="434">
        <f t="shared" si="31"/>
        <v>0.5</v>
      </c>
      <c r="L49" s="434">
        <f t="shared" si="31"/>
        <v>0.5</v>
      </c>
      <c r="M49" s="434">
        <f t="shared" si="31"/>
        <v>0.5</v>
      </c>
      <c r="N49" s="434">
        <f t="shared" si="31"/>
        <v>0.5</v>
      </c>
      <c r="O49" s="434">
        <f t="shared" si="31"/>
        <v>0.5</v>
      </c>
      <c r="P49" s="434">
        <f t="shared" si="31"/>
        <v>0.5</v>
      </c>
      <c r="Q49" s="434">
        <f t="shared" si="31"/>
        <v>0.5</v>
      </c>
      <c r="R49" s="434">
        <f t="shared" si="31"/>
        <v>0.5</v>
      </c>
      <c r="S49" s="434">
        <f t="shared" si="31"/>
        <v>0.5</v>
      </c>
      <c r="T49" s="434">
        <f t="shared" si="31"/>
        <v>0.5</v>
      </c>
      <c r="U49" s="434">
        <f t="shared" si="31"/>
        <v>0.5</v>
      </c>
      <c r="V49" s="434">
        <f t="shared" si="31"/>
        <v>0.5</v>
      </c>
      <c r="W49" s="434">
        <f t="shared" si="31"/>
        <v>0.5</v>
      </c>
      <c r="X49" s="434">
        <f t="shared" si="31"/>
        <v>0.5</v>
      </c>
      <c r="Y49" s="434">
        <f t="shared" si="31"/>
        <v>0.5</v>
      </c>
      <c r="Z49" s="434">
        <f t="shared" si="31"/>
        <v>0.5</v>
      </c>
      <c r="AA49" s="434">
        <f t="shared" si="31"/>
        <v>0.5</v>
      </c>
      <c r="AB49" s="434">
        <f t="shared" si="31"/>
        <v>0.5</v>
      </c>
      <c r="AC49" s="434">
        <f t="shared" si="31"/>
        <v>0.5</v>
      </c>
      <c r="AD49" s="434">
        <f t="shared" si="31"/>
        <v>0.5</v>
      </c>
      <c r="AE49" s="434">
        <f t="shared" si="31"/>
        <v>0.5</v>
      </c>
      <c r="AF49" s="434">
        <f t="shared" si="31"/>
        <v>0.5</v>
      </c>
      <c r="AG49" s="434">
        <f t="shared" si="31"/>
        <v>0.5</v>
      </c>
      <c r="AH49" s="434">
        <f t="shared" si="31"/>
        <v>0.5</v>
      </c>
      <c r="AI49" s="431">
        <f>ROUND(SUM(G49:AH49),1)</f>
        <v>14</v>
      </c>
    </row>
    <row r="50" spans="1:35">
      <c r="A50" s="652"/>
      <c r="B50" s="652"/>
      <c r="C50" s="22" t="s">
        <v>79</v>
      </c>
      <c r="D50" s="434">
        <f t="shared" ref="D50:AH50" si="32">D28-D6</f>
        <v>0</v>
      </c>
      <c r="E50" s="434">
        <f t="shared" si="32"/>
        <v>0</v>
      </c>
      <c r="F50" s="434">
        <f t="shared" si="32"/>
        <v>0</v>
      </c>
      <c r="G50" s="434">
        <f t="shared" si="32"/>
        <v>1.8999999999999986</v>
      </c>
      <c r="H50" s="434">
        <f t="shared" si="32"/>
        <v>1.9000000000000021</v>
      </c>
      <c r="I50" s="434">
        <f t="shared" si="32"/>
        <v>1.9000000000000021</v>
      </c>
      <c r="J50" s="434">
        <f t="shared" si="32"/>
        <v>1.8999999999999986</v>
      </c>
      <c r="K50" s="434">
        <f t="shared" si="32"/>
        <v>1.8999999999999986</v>
      </c>
      <c r="L50" s="434">
        <f t="shared" si="32"/>
        <v>1.8999999999999986</v>
      </c>
      <c r="M50" s="434">
        <f t="shared" si="32"/>
        <v>1.9000000000000021</v>
      </c>
      <c r="N50" s="434">
        <f t="shared" si="32"/>
        <v>1.9000000000000021</v>
      </c>
      <c r="O50" s="434">
        <f t="shared" si="32"/>
        <v>1.8999999999999986</v>
      </c>
      <c r="P50" s="434">
        <f t="shared" si="32"/>
        <v>1.8999999999999986</v>
      </c>
      <c r="Q50" s="434">
        <f t="shared" si="32"/>
        <v>1.9000000000000021</v>
      </c>
      <c r="R50" s="434">
        <f t="shared" si="32"/>
        <v>1.8999999999999986</v>
      </c>
      <c r="S50" s="434">
        <f t="shared" si="32"/>
        <v>1.8999999999999986</v>
      </c>
      <c r="T50" s="434">
        <f t="shared" si="32"/>
        <v>1.8999999999999986</v>
      </c>
      <c r="U50" s="434">
        <f t="shared" si="32"/>
        <v>1.9000000000000021</v>
      </c>
      <c r="V50" s="434">
        <f t="shared" si="32"/>
        <v>1.9000000000000021</v>
      </c>
      <c r="W50" s="434">
        <f t="shared" si="32"/>
        <v>1.8999999999999986</v>
      </c>
      <c r="X50" s="434">
        <f t="shared" si="32"/>
        <v>1.9000000000000021</v>
      </c>
      <c r="Y50" s="434">
        <f t="shared" si="32"/>
        <v>1.8999999999999986</v>
      </c>
      <c r="Z50" s="434">
        <f t="shared" si="32"/>
        <v>1.8999999999999986</v>
      </c>
      <c r="AA50" s="434">
        <f t="shared" si="32"/>
        <v>1.9000000000000021</v>
      </c>
      <c r="AB50" s="434">
        <f t="shared" si="32"/>
        <v>1.8999999999999986</v>
      </c>
      <c r="AC50" s="434">
        <f t="shared" si="32"/>
        <v>1.8999999999999986</v>
      </c>
      <c r="AD50" s="434">
        <f t="shared" si="32"/>
        <v>1.8999999999999986</v>
      </c>
      <c r="AE50" s="434">
        <f t="shared" si="32"/>
        <v>1.8999999999999986</v>
      </c>
      <c r="AF50" s="434">
        <f t="shared" si="32"/>
        <v>1.9000000000000057</v>
      </c>
      <c r="AG50" s="434">
        <f t="shared" si="32"/>
        <v>1.8999999999999986</v>
      </c>
      <c r="AH50" s="434">
        <f t="shared" si="32"/>
        <v>1.8999999999999986</v>
      </c>
      <c r="AI50" s="431">
        <f>ROUND(SUM(G50:AH50),1)</f>
        <v>53.2</v>
      </c>
    </row>
    <row r="51" spans="1:35">
      <c r="A51" s="653"/>
      <c r="B51" s="653"/>
      <c r="C51" s="24" t="s">
        <v>448</v>
      </c>
      <c r="D51" s="435">
        <f t="shared" ref="D51:AH51" si="33">D29-D7</f>
        <v>0</v>
      </c>
      <c r="E51" s="435">
        <f t="shared" si="33"/>
        <v>0</v>
      </c>
      <c r="F51" s="435">
        <f t="shared" si="33"/>
        <v>0</v>
      </c>
      <c r="G51" s="435">
        <f t="shared" si="33"/>
        <v>-21.099999999999994</v>
      </c>
      <c r="H51" s="435">
        <f t="shared" si="33"/>
        <v>-20.699999999999996</v>
      </c>
      <c r="I51" s="435">
        <f t="shared" si="33"/>
        <v>-20.199999999999996</v>
      </c>
      <c r="J51" s="435">
        <f t="shared" si="33"/>
        <v>-19.800000000000004</v>
      </c>
      <c r="K51" s="435">
        <f t="shared" si="33"/>
        <v>-19.300000000000004</v>
      </c>
      <c r="L51" s="435">
        <f t="shared" si="33"/>
        <v>-18.800000000000004</v>
      </c>
      <c r="M51" s="435">
        <f t="shared" si="33"/>
        <v>-18.300000000000004</v>
      </c>
      <c r="N51" s="435">
        <f t="shared" si="33"/>
        <v>-17.800000000000004</v>
      </c>
      <c r="O51" s="435">
        <f t="shared" si="33"/>
        <v>-17.399999999999999</v>
      </c>
      <c r="P51" s="435">
        <f t="shared" si="33"/>
        <v>-16.899999999999999</v>
      </c>
      <c r="Q51" s="435">
        <f t="shared" si="33"/>
        <v>-16.399999999999999</v>
      </c>
      <c r="R51" s="435">
        <f t="shared" si="33"/>
        <v>-16</v>
      </c>
      <c r="S51" s="435">
        <f t="shared" si="33"/>
        <v>-15.5</v>
      </c>
      <c r="T51" s="435">
        <f t="shared" si="33"/>
        <v>-15.099999999999994</v>
      </c>
      <c r="U51" s="435">
        <f t="shared" si="33"/>
        <v>-14.599999999999994</v>
      </c>
      <c r="V51" s="435">
        <f t="shared" si="33"/>
        <v>-14.099999999999994</v>
      </c>
      <c r="W51" s="435">
        <f t="shared" si="33"/>
        <v>-13.599999999999994</v>
      </c>
      <c r="X51" s="435">
        <f t="shared" si="33"/>
        <v>-13.099999999999994</v>
      </c>
      <c r="Y51" s="435">
        <f t="shared" si="33"/>
        <v>-12.700000000000003</v>
      </c>
      <c r="Z51" s="435">
        <f t="shared" si="33"/>
        <v>-12.200000000000003</v>
      </c>
      <c r="AA51" s="435">
        <f t="shared" si="33"/>
        <v>-11.700000000000003</v>
      </c>
      <c r="AB51" s="435">
        <f t="shared" si="33"/>
        <v>-11.299999999999997</v>
      </c>
      <c r="AC51" s="435">
        <f t="shared" si="33"/>
        <v>-10.799999999999997</v>
      </c>
      <c r="AD51" s="435">
        <f t="shared" si="33"/>
        <v>-10.399999999999991</v>
      </c>
      <c r="AE51" s="435">
        <f t="shared" si="33"/>
        <v>-9.8999999999999915</v>
      </c>
      <c r="AF51" s="435">
        <f t="shared" si="33"/>
        <v>-9.3999999999999915</v>
      </c>
      <c r="AG51" s="435">
        <f t="shared" si="33"/>
        <v>-8.8999999999999915</v>
      </c>
      <c r="AH51" s="435">
        <f t="shared" si="33"/>
        <v>-8.3999999999999915</v>
      </c>
      <c r="AI51" s="432">
        <f>ROUND(SUM(G51:AH51),1)</f>
        <v>-414.4</v>
      </c>
    </row>
    <row r="52" spans="1:35" ht="13.5" thickBot="1">
      <c r="C52" s="22" t="s">
        <v>449</v>
      </c>
      <c r="D52" s="22"/>
      <c r="E52" s="22"/>
      <c r="F52" s="22"/>
      <c r="AI52" s="433">
        <f>SUM(AI48:AI51)</f>
        <v>-343.09999999999997</v>
      </c>
    </row>
    <row r="53" spans="1:35">
      <c r="B53" s="16"/>
      <c r="G53" s="18">
        <v>1</v>
      </c>
      <c r="H53" s="18">
        <v>2</v>
      </c>
      <c r="I53" s="18">
        <v>3</v>
      </c>
      <c r="J53" s="18">
        <v>4</v>
      </c>
      <c r="K53" s="18">
        <v>5</v>
      </c>
      <c r="L53" s="18">
        <v>6</v>
      </c>
      <c r="M53" s="18">
        <v>7</v>
      </c>
      <c r="N53" s="18">
        <v>8</v>
      </c>
      <c r="O53" s="18">
        <v>9</v>
      </c>
      <c r="P53" s="18">
        <v>10</v>
      </c>
      <c r="Q53" s="18">
        <v>11</v>
      </c>
      <c r="R53" s="18">
        <v>12</v>
      </c>
      <c r="S53" s="18">
        <v>13</v>
      </c>
      <c r="T53" s="18">
        <v>14</v>
      </c>
      <c r="U53" s="18">
        <v>15</v>
      </c>
      <c r="V53" s="18">
        <v>16</v>
      </c>
      <c r="W53" s="18">
        <v>17</v>
      </c>
      <c r="X53" s="18">
        <v>18</v>
      </c>
      <c r="Y53" s="18">
        <v>19</v>
      </c>
      <c r="Z53" s="18">
        <v>20</v>
      </c>
      <c r="AA53" s="18">
        <v>21</v>
      </c>
      <c r="AB53" s="18">
        <v>22</v>
      </c>
      <c r="AC53" s="18">
        <v>23</v>
      </c>
      <c r="AD53" s="18">
        <v>24</v>
      </c>
      <c r="AE53" s="18">
        <v>25</v>
      </c>
      <c r="AF53" s="18">
        <v>26</v>
      </c>
      <c r="AG53" s="18">
        <v>27</v>
      </c>
      <c r="AH53" s="18">
        <v>28</v>
      </c>
      <c r="AI53" s="19"/>
    </row>
    <row r="54" spans="1:35" ht="13.5" thickBot="1">
      <c r="A54" s="428"/>
      <c r="B54" s="429" t="s">
        <v>453</v>
      </c>
      <c r="D54" s="17">
        <v>2022</v>
      </c>
      <c r="E54" s="17">
        <v>2023</v>
      </c>
      <c r="F54" s="17">
        <v>2024</v>
      </c>
      <c r="G54" s="17">
        <f t="shared" ref="G54:AH54" si="34">G$3</f>
        <v>2025</v>
      </c>
      <c r="H54" s="17">
        <f t="shared" si="34"/>
        <v>2026</v>
      </c>
      <c r="I54" s="17">
        <f t="shared" si="34"/>
        <v>2027</v>
      </c>
      <c r="J54" s="17">
        <f t="shared" si="34"/>
        <v>2028</v>
      </c>
      <c r="K54" s="17">
        <f t="shared" si="34"/>
        <v>2029</v>
      </c>
      <c r="L54" s="17">
        <f t="shared" si="34"/>
        <v>2030</v>
      </c>
      <c r="M54" s="17">
        <f t="shared" si="34"/>
        <v>2031</v>
      </c>
      <c r="N54" s="17">
        <f t="shared" si="34"/>
        <v>2032</v>
      </c>
      <c r="O54" s="17">
        <f t="shared" si="34"/>
        <v>2033</v>
      </c>
      <c r="P54" s="17">
        <f t="shared" si="34"/>
        <v>2034</v>
      </c>
      <c r="Q54" s="17">
        <f t="shared" si="34"/>
        <v>2035</v>
      </c>
      <c r="R54" s="17">
        <f t="shared" si="34"/>
        <v>2036</v>
      </c>
      <c r="S54" s="17">
        <f t="shared" si="34"/>
        <v>2037</v>
      </c>
      <c r="T54" s="17">
        <f t="shared" si="34"/>
        <v>2038</v>
      </c>
      <c r="U54" s="17">
        <f t="shared" si="34"/>
        <v>2039</v>
      </c>
      <c r="V54" s="17">
        <f t="shared" si="34"/>
        <v>2040</v>
      </c>
      <c r="W54" s="17">
        <f t="shared" si="34"/>
        <v>2041</v>
      </c>
      <c r="X54" s="17">
        <f t="shared" si="34"/>
        <v>2042</v>
      </c>
      <c r="Y54" s="17">
        <f t="shared" si="34"/>
        <v>2043</v>
      </c>
      <c r="Z54" s="17">
        <f t="shared" si="34"/>
        <v>2044</v>
      </c>
      <c r="AA54" s="17">
        <f t="shared" si="34"/>
        <v>2045</v>
      </c>
      <c r="AB54" s="17">
        <f t="shared" si="34"/>
        <v>2046</v>
      </c>
      <c r="AC54" s="17">
        <f t="shared" si="34"/>
        <v>2047</v>
      </c>
      <c r="AD54" s="17">
        <f t="shared" si="34"/>
        <v>2048</v>
      </c>
      <c r="AE54" s="17">
        <f t="shared" si="34"/>
        <v>2049</v>
      </c>
      <c r="AF54" s="17">
        <f t="shared" si="34"/>
        <v>2050</v>
      </c>
      <c r="AG54" s="17">
        <f t="shared" si="34"/>
        <v>2051</v>
      </c>
      <c r="AH54" s="17">
        <f t="shared" si="34"/>
        <v>2052</v>
      </c>
      <c r="AI54" s="19" t="s">
        <v>445</v>
      </c>
    </row>
    <row r="55" spans="1:35">
      <c r="A55" s="651" t="str">
        <f>A33</f>
        <v>I-44 - Part 2</v>
      </c>
      <c r="B55" s="651" t="s">
        <v>447</v>
      </c>
      <c r="C55" s="20" t="s">
        <v>77</v>
      </c>
      <c r="D55" s="261">
        <f t="shared" ref="D55:AH55" si="35">D33-D11</f>
        <v>0</v>
      </c>
      <c r="E55" s="261">
        <f t="shared" si="35"/>
        <v>0</v>
      </c>
      <c r="F55" s="261">
        <f t="shared" si="35"/>
        <v>0</v>
      </c>
      <c r="G55" s="261">
        <f t="shared" si="35"/>
        <v>0</v>
      </c>
      <c r="H55" s="261">
        <f t="shared" si="35"/>
        <v>0</v>
      </c>
      <c r="I55" s="261">
        <f t="shared" si="35"/>
        <v>0</v>
      </c>
      <c r="J55" s="261">
        <f t="shared" si="35"/>
        <v>0</v>
      </c>
      <c r="K55" s="261">
        <f t="shared" si="35"/>
        <v>0</v>
      </c>
      <c r="L55" s="261">
        <f t="shared" si="35"/>
        <v>0</v>
      </c>
      <c r="M55" s="261">
        <f t="shared" si="35"/>
        <v>0</v>
      </c>
      <c r="N55" s="261">
        <f t="shared" si="35"/>
        <v>0</v>
      </c>
      <c r="O55" s="261">
        <f t="shared" si="35"/>
        <v>0</v>
      </c>
      <c r="P55" s="261">
        <f t="shared" si="35"/>
        <v>0</v>
      </c>
      <c r="Q55" s="261">
        <f t="shared" si="35"/>
        <v>0</v>
      </c>
      <c r="R55" s="261">
        <f t="shared" si="35"/>
        <v>0</v>
      </c>
      <c r="S55" s="261">
        <f t="shared" si="35"/>
        <v>0</v>
      </c>
      <c r="T55" s="261">
        <f t="shared" si="35"/>
        <v>0</v>
      </c>
      <c r="U55" s="261">
        <f t="shared" si="35"/>
        <v>0</v>
      </c>
      <c r="V55" s="261">
        <f t="shared" si="35"/>
        <v>0</v>
      </c>
      <c r="W55" s="261">
        <f t="shared" si="35"/>
        <v>0</v>
      </c>
      <c r="X55" s="261">
        <f t="shared" si="35"/>
        <v>0</v>
      </c>
      <c r="Y55" s="261">
        <f t="shared" si="35"/>
        <v>0</v>
      </c>
      <c r="Z55" s="261">
        <f t="shared" si="35"/>
        <v>0</v>
      </c>
      <c r="AA55" s="261">
        <f t="shared" si="35"/>
        <v>0</v>
      </c>
      <c r="AB55" s="261">
        <f t="shared" si="35"/>
        <v>0</v>
      </c>
      <c r="AC55" s="261">
        <f t="shared" si="35"/>
        <v>0</v>
      </c>
      <c r="AD55" s="261">
        <f t="shared" si="35"/>
        <v>0</v>
      </c>
      <c r="AE55" s="261">
        <f t="shared" si="35"/>
        <v>0</v>
      </c>
      <c r="AF55" s="261">
        <f t="shared" si="35"/>
        <v>0</v>
      </c>
      <c r="AG55" s="261">
        <f t="shared" si="35"/>
        <v>0</v>
      </c>
      <c r="AH55" s="261">
        <f t="shared" si="35"/>
        <v>0</v>
      </c>
      <c r="AI55" s="430">
        <f>ROUND(SUM(G55:AH55),1)</f>
        <v>0</v>
      </c>
    </row>
    <row r="56" spans="1:35">
      <c r="A56" s="652"/>
      <c r="B56" s="652"/>
      <c r="C56" s="22" t="s">
        <v>78</v>
      </c>
      <c r="D56" s="434">
        <f t="shared" ref="D56:AH56" si="36">D34-D12</f>
        <v>0</v>
      </c>
      <c r="E56" s="434">
        <f t="shared" si="36"/>
        <v>0</v>
      </c>
      <c r="F56" s="434">
        <f t="shared" si="36"/>
        <v>0</v>
      </c>
      <c r="G56" s="434">
        <f t="shared" si="36"/>
        <v>0</v>
      </c>
      <c r="H56" s="434">
        <f t="shared" si="36"/>
        <v>0</v>
      </c>
      <c r="I56" s="434">
        <f t="shared" si="36"/>
        <v>0</v>
      </c>
      <c r="J56" s="434">
        <f t="shared" si="36"/>
        <v>0</v>
      </c>
      <c r="K56" s="434">
        <f t="shared" si="36"/>
        <v>0</v>
      </c>
      <c r="L56" s="434">
        <f t="shared" si="36"/>
        <v>0</v>
      </c>
      <c r="M56" s="434">
        <f t="shared" si="36"/>
        <v>0</v>
      </c>
      <c r="N56" s="434">
        <f t="shared" si="36"/>
        <v>0</v>
      </c>
      <c r="O56" s="434">
        <f t="shared" si="36"/>
        <v>0</v>
      </c>
      <c r="P56" s="434">
        <f t="shared" si="36"/>
        <v>0</v>
      </c>
      <c r="Q56" s="434">
        <f t="shared" si="36"/>
        <v>0</v>
      </c>
      <c r="R56" s="434">
        <f t="shared" si="36"/>
        <v>0</v>
      </c>
      <c r="S56" s="434">
        <f t="shared" si="36"/>
        <v>0</v>
      </c>
      <c r="T56" s="434">
        <f t="shared" si="36"/>
        <v>0</v>
      </c>
      <c r="U56" s="434">
        <f t="shared" si="36"/>
        <v>0</v>
      </c>
      <c r="V56" s="434">
        <f t="shared" si="36"/>
        <v>0</v>
      </c>
      <c r="W56" s="434">
        <f t="shared" si="36"/>
        <v>0</v>
      </c>
      <c r="X56" s="434">
        <f t="shared" si="36"/>
        <v>0</v>
      </c>
      <c r="Y56" s="434">
        <f t="shared" si="36"/>
        <v>0</v>
      </c>
      <c r="Z56" s="434">
        <f t="shared" si="36"/>
        <v>0</v>
      </c>
      <c r="AA56" s="434">
        <f t="shared" si="36"/>
        <v>0</v>
      </c>
      <c r="AB56" s="434">
        <f t="shared" si="36"/>
        <v>0</v>
      </c>
      <c r="AC56" s="434">
        <f t="shared" si="36"/>
        <v>0</v>
      </c>
      <c r="AD56" s="434">
        <f t="shared" si="36"/>
        <v>0</v>
      </c>
      <c r="AE56" s="434">
        <f t="shared" si="36"/>
        <v>0</v>
      </c>
      <c r="AF56" s="434">
        <f t="shared" si="36"/>
        <v>0</v>
      </c>
      <c r="AG56" s="434">
        <f t="shared" si="36"/>
        <v>0</v>
      </c>
      <c r="AH56" s="434">
        <f t="shared" si="36"/>
        <v>0</v>
      </c>
      <c r="AI56" s="431">
        <f>ROUND(SUM(G56:AH56),1)</f>
        <v>0</v>
      </c>
    </row>
    <row r="57" spans="1:35">
      <c r="A57" s="652"/>
      <c r="B57" s="652"/>
      <c r="C57" s="22" t="s">
        <v>79</v>
      </c>
      <c r="D57" s="434">
        <f t="shared" ref="D57:AH57" si="37">D35-D13</f>
        <v>0</v>
      </c>
      <c r="E57" s="434">
        <f t="shared" si="37"/>
        <v>0</v>
      </c>
      <c r="F57" s="434">
        <f t="shared" si="37"/>
        <v>0</v>
      </c>
      <c r="G57" s="434">
        <f t="shared" si="37"/>
        <v>0.20000000000000007</v>
      </c>
      <c r="H57" s="434">
        <f t="shared" si="37"/>
        <v>0.20000000000000007</v>
      </c>
      <c r="I57" s="434">
        <f t="shared" si="37"/>
        <v>0.20000000000000007</v>
      </c>
      <c r="J57" s="434">
        <f t="shared" si="37"/>
        <v>0.20000000000000007</v>
      </c>
      <c r="K57" s="434">
        <f t="shared" si="37"/>
        <v>0.20000000000000007</v>
      </c>
      <c r="L57" s="434">
        <f t="shared" si="37"/>
        <v>0.20000000000000018</v>
      </c>
      <c r="M57" s="434">
        <f t="shared" si="37"/>
        <v>0.20000000000000007</v>
      </c>
      <c r="N57" s="434">
        <f t="shared" si="37"/>
        <v>0.20000000000000007</v>
      </c>
      <c r="O57" s="434">
        <f t="shared" si="37"/>
        <v>0.20000000000000007</v>
      </c>
      <c r="P57" s="434">
        <f t="shared" si="37"/>
        <v>0.20000000000000007</v>
      </c>
      <c r="Q57" s="434">
        <f t="shared" si="37"/>
        <v>0.10000000000000009</v>
      </c>
      <c r="R57" s="434">
        <f t="shared" si="37"/>
        <v>0.10000000000000009</v>
      </c>
      <c r="S57" s="434">
        <f t="shared" si="37"/>
        <v>0.10000000000000009</v>
      </c>
      <c r="T57" s="434">
        <f t="shared" si="37"/>
        <v>0.10000000000000009</v>
      </c>
      <c r="U57" s="434">
        <f t="shared" si="37"/>
        <v>0.10000000000000009</v>
      </c>
      <c r="V57" s="434">
        <f t="shared" si="37"/>
        <v>0.19999999999999996</v>
      </c>
      <c r="W57" s="434">
        <f t="shared" si="37"/>
        <v>0.19999999999999996</v>
      </c>
      <c r="X57" s="434">
        <f t="shared" si="37"/>
        <v>0.19999999999999996</v>
      </c>
      <c r="Y57" s="434">
        <f t="shared" si="37"/>
        <v>0.19999999999999996</v>
      </c>
      <c r="Z57" s="434">
        <f t="shared" si="37"/>
        <v>0.19999999999999996</v>
      </c>
      <c r="AA57" s="434">
        <f t="shared" si="37"/>
        <v>9.9999999999999867E-2</v>
      </c>
      <c r="AB57" s="434">
        <f t="shared" si="37"/>
        <v>9.9999999999999867E-2</v>
      </c>
      <c r="AC57" s="434">
        <f t="shared" si="37"/>
        <v>9.9999999999999867E-2</v>
      </c>
      <c r="AD57" s="434">
        <f t="shared" si="37"/>
        <v>9.9999999999999867E-2</v>
      </c>
      <c r="AE57" s="434">
        <f t="shared" si="37"/>
        <v>9.9999999999999867E-2</v>
      </c>
      <c r="AF57" s="434">
        <f t="shared" si="37"/>
        <v>0.10000000000000009</v>
      </c>
      <c r="AG57" s="434">
        <f t="shared" si="37"/>
        <v>9.9999999999999867E-2</v>
      </c>
      <c r="AH57" s="434">
        <f t="shared" si="37"/>
        <v>9.9999999999999867E-2</v>
      </c>
      <c r="AI57" s="431">
        <f>ROUND(SUM(G57:AH57),1)</f>
        <v>4.3</v>
      </c>
    </row>
    <row r="58" spans="1:35">
      <c r="A58" s="653"/>
      <c r="B58" s="653"/>
      <c r="C58" s="24" t="s">
        <v>448</v>
      </c>
      <c r="D58" s="435">
        <f t="shared" ref="D58:AH58" si="38">D36-D14</f>
        <v>0</v>
      </c>
      <c r="E58" s="435">
        <f t="shared" si="38"/>
        <v>0</v>
      </c>
      <c r="F58" s="435">
        <f t="shared" si="38"/>
        <v>0</v>
      </c>
      <c r="G58" s="435">
        <f t="shared" si="38"/>
        <v>2.2999999999999998</v>
      </c>
      <c r="H58" s="435">
        <f t="shared" si="38"/>
        <v>2.1</v>
      </c>
      <c r="I58" s="435">
        <f t="shared" si="38"/>
        <v>2</v>
      </c>
      <c r="J58" s="435">
        <f t="shared" si="38"/>
        <v>1.9</v>
      </c>
      <c r="K58" s="435">
        <f t="shared" si="38"/>
        <v>1.8</v>
      </c>
      <c r="L58" s="435">
        <f t="shared" si="38"/>
        <v>1.7000000000000002</v>
      </c>
      <c r="M58" s="435">
        <f t="shared" si="38"/>
        <v>1.6</v>
      </c>
      <c r="N58" s="435">
        <f t="shared" si="38"/>
        <v>1.5000000000000002</v>
      </c>
      <c r="O58" s="435">
        <f t="shared" si="38"/>
        <v>1.4000000000000001</v>
      </c>
      <c r="P58" s="435">
        <f t="shared" si="38"/>
        <v>1.3000000000000003</v>
      </c>
      <c r="Q58" s="435">
        <f t="shared" si="38"/>
        <v>1.1999999999999997</v>
      </c>
      <c r="R58" s="435">
        <f t="shared" si="38"/>
        <v>1.0999999999999999</v>
      </c>
      <c r="S58" s="435">
        <f t="shared" si="38"/>
        <v>0.99999999999999978</v>
      </c>
      <c r="T58" s="435">
        <f t="shared" si="38"/>
        <v>0.79999999999999982</v>
      </c>
      <c r="U58" s="435">
        <f t="shared" si="38"/>
        <v>0.79999999999999982</v>
      </c>
      <c r="V58" s="435">
        <f t="shared" si="38"/>
        <v>0.60000000000000009</v>
      </c>
      <c r="W58" s="435">
        <f t="shared" si="38"/>
        <v>0.5</v>
      </c>
      <c r="X58" s="435">
        <f t="shared" si="38"/>
        <v>0.5</v>
      </c>
      <c r="Y58" s="435">
        <f t="shared" si="38"/>
        <v>0.29999999999999982</v>
      </c>
      <c r="Z58" s="435">
        <f t="shared" si="38"/>
        <v>0.20000000000000018</v>
      </c>
      <c r="AA58" s="435">
        <f t="shared" si="38"/>
        <v>0.20000000000000018</v>
      </c>
      <c r="AB58" s="435">
        <f t="shared" si="38"/>
        <v>0</v>
      </c>
      <c r="AC58" s="435">
        <f t="shared" si="38"/>
        <v>-0.10000000000000009</v>
      </c>
      <c r="AD58" s="435">
        <f t="shared" si="38"/>
        <v>-0.19999999999999973</v>
      </c>
      <c r="AE58" s="435">
        <f t="shared" si="38"/>
        <v>-0.29999999999999982</v>
      </c>
      <c r="AF58" s="435">
        <f t="shared" si="38"/>
        <v>-0.39999999999999991</v>
      </c>
      <c r="AG58" s="435">
        <f t="shared" si="38"/>
        <v>-0.5</v>
      </c>
      <c r="AH58" s="435">
        <f t="shared" si="38"/>
        <v>-0.60000000000000009</v>
      </c>
      <c r="AI58" s="432">
        <f>ROUND(SUM(G58:AH58),1)</f>
        <v>22.7</v>
      </c>
    </row>
    <row r="59" spans="1:35" ht="13.5" thickBot="1">
      <c r="C59" s="22" t="s">
        <v>449</v>
      </c>
      <c r="D59" s="22"/>
      <c r="E59" s="22"/>
      <c r="F59" s="22"/>
      <c r="AI59" s="433">
        <f>SUM(AI55:AI58)</f>
        <v>27</v>
      </c>
    </row>
    <row r="60" spans="1:35">
      <c r="B60" s="16"/>
      <c r="G60" s="18">
        <v>1</v>
      </c>
      <c r="H60" s="18">
        <v>2</v>
      </c>
      <c r="I60" s="18">
        <v>3</v>
      </c>
      <c r="J60" s="18">
        <v>4</v>
      </c>
      <c r="K60" s="18">
        <v>5</v>
      </c>
      <c r="L60" s="18">
        <v>6</v>
      </c>
      <c r="M60" s="18">
        <v>7</v>
      </c>
      <c r="N60" s="18">
        <v>8</v>
      </c>
      <c r="O60" s="18">
        <v>9</v>
      </c>
      <c r="P60" s="18">
        <v>10</v>
      </c>
      <c r="Q60" s="18">
        <v>11</v>
      </c>
      <c r="R60" s="18">
        <v>12</v>
      </c>
      <c r="S60" s="18">
        <v>13</v>
      </c>
      <c r="T60" s="18">
        <v>14</v>
      </c>
      <c r="U60" s="18">
        <v>15</v>
      </c>
      <c r="V60" s="18">
        <v>16</v>
      </c>
      <c r="W60" s="18">
        <v>17</v>
      </c>
      <c r="X60" s="18">
        <v>18</v>
      </c>
      <c r="Y60" s="18">
        <v>19</v>
      </c>
      <c r="Z60" s="18">
        <v>20</v>
      </c>
      <c r="AA60" s="18">
        <v>21</v>
      </c>
      <c r="AB60" s="18">
        <v>22</v>
      </c>
      <c r="AC60" s="18">
        <v>23</v>
      </c>
      <c r="AD60" s="18">
        <v>24</v>
      </c>
      <c r="AE60" s="18">
        <v>25</v>
      </c>
      <c r="AF60" s="18">
        <v>26</v>
      </c>
      <c r="AG60" s="18">
        <v>27</v>
      </c>
      <c r="AH60" s="18">
        <v>28</v>
      </c>
      <c r="AI60" s="19"/>
    </row>
    <row r="61" spans="1:35" ht="13.5" thickBot="1">
      <c r="A61" s="428"/>
      <c r="B61" s="429" t="s">
        <v>453</v>
      </c>
      <c r="D61" s="17">
        <v>2022</v>
      </c>
      <c r="E61" s="17">
        <v>2023</v>
      </c>
      <c r="F61" s="17">
        <v>2024</v>
      </c>
      <c r="G61" s="17">
        <f t="shared" ref="G61:AH61" si="39">G$3</f>
        <v>2025</v>
      </c>
      <c r="H61" s="17">
        <f t="shared" si="39"/>
        <v>2026</v>
      </c>
      <c r="I61" s="17">
        <f t="shared" si="39"/>
        <v>2027</v>
      </c>
      <c r="J61" s="17">
        <f t="shared" si="39"/>
        <v>2028</v>
      </c>
      <c r="K61" s="17">
        <f t="shared" si="39"/>
        <v>2029</v>
      </c>
      <c r="L61" s="17">
        <f t="shared" si="39"/>
        <v>2030</v>
      </c>
      <c r="M61" s="17">
        <f t="shared" si="39"/>
        <v>2031</v>
      </c>
      <c r="N61" s="17">
        <f t="shared" si="39"/>
        <v>2032</v>
      </c>
      <c r="O61" s="17">
        <f t="shared" si="39"/>
        <v>2033</v>
      </c>
      <c r="P61" s="17">
        <f t="shared" si="39"/>
        <v>2034</v>
      </c>
      <c r="Q61" s="17">
        <f t="shared" si="39"/>
        <v>2035</v>
      </c>
      <c r="R61" s="17">
        <f t="shared" si="39"/>
        <v>2036</v>
      </c>
      <c r="S61" s="17">
        <f t="shared" si="39"/>
        <v>2037</v>
      </c>
      <c r="T61" s="17">
        <f t="shared" si="39"/>
        <v>2038</v>
      </c>
      <c r="U61" s="17">
        <f t="shared" si="39"/>
        <v>2039</v>
      </c>
      <c r="V61" s="17">
        <f t="shared" si="39"/>
        <v>2040</v>
      </c>
      <c r="W61" s="17">
        <f t="shared" si="39"/>
        <v>2041</v>
      </c>
      <c r="X61" s="17">
        <f t="shared" si="39"/>
        <v>2042</v>
      </c>
      <c r="Y61" s="17">
        <f t="shared" si="39"/>
        <v>2043</v>
      </c>
      <c r="Z61" s="17">
        <f t="shared" si="39"/>
        <v>2044</v>
      </c>
      <c r="AA61" s="17">
        <f t="shared" si="39"/>
        <v>2045</v>
      </c>
      <c r="AB61" s="17">
        <f t="shared" si="39"/>
        <v>2046</v>
      </c>
      <c r="AC61" s="17">
        <f t="shared" si="39"/>
        <v>2047</v>
      </c>
      <c r="AD61" s="17">
        <f t="shared" si="39"/>
        <v>2048</v>
      </c>
      <c r="AE61" s="17">
        <f t="shared" si="39"/>
        <v>2049</v>
      </c>
      <c r="AF61" s="17">
        <f t="shared" si="39"/>
        <v>2050</v>
      </c>
      <c r="AG61" s="17">
        <f t="shared" si="39"/>
        <v>2051</v>
      </c>
      <c r="AH61" s="17">
        <f t="shared" si="39"/>
        <v>2052</v>
      </c>
      <c r="AI61" s="19" t="s">
        <v>445</v>
      </c>
    </row>
    <row r="62" spans="1:35">
      <c r="A62" s="651" t="str">
        <f>A40</f>
        <v xml:space="preserve"> MO 13 &amp; Local Roads Urban</v>
      </c>
      <c r="B62" s="651" t="s">
        <v>447</v>
      </c>
      <c r="C62" s="20" t="s">
        <v>77</v>
      </c>
      <c r="D62" s="261">
        <f t="shared" ref="D62:AH62" si="40">D40-D18</f>
        <v>0</v>
      </c>
      <c r="E62" s="261">
        <f t="shared" si="40"/>
        <v>0</v>
      </c>
      <c r="F62" s="261">
        <f t="shared" si="40"/>
        <v>0</v>
      </c>
      <c r="G62" s="261">
        <f t="shared" si="40"/>
        <v>0</v>
      </c>
      <c r="H62" s="261">
        <f t="shared" si="40"/>
        <v>0</v>
      </c>
      <c r="I62" s="261">
        <f t="shared" si="40"/>
        <v>0</v>
      </c>
      <c r="J62" s="261">
        <f t="shared" si="40"/>
        <v>0</v>
      </c>
      <c r="K62" s="261">
        <f t="shared" si="40"/>
        <v>0</v>
      </c>
      <c r="L62" s="261">
        <f t="shared" si="40"/>
        <v>-1.2999999999999998E-2</v>
      </c>
      <c r="M62" s="261">
        <f t="shared" si="40"/>
        <v>0</v>
      </c>
      <c r="N62" s="261">
        <f t="shared" si="40"/>
        <v>0</v>
      </c>
      <c r="O62" s="261">
        <f t="shared" si="40"/>
        <v>0</v>
      </c>
      <c r="P62" s="261">
        <f t="shared" si="40"/>
        <v>0</v>
      </c>
      <c r="Q62" s="436">
        <f t="shared" si="40"/>
        <v>0</v>
      </c>
      <c r="R62" s="261">
        <f t="shared" si="40"/>
        <v>0</v>
      </c>
      <c r="S62" s="261">
        <f t="shared" si="40"/>
        <v>0</v>
      </c>
      <c r="T62" s="261">
        <f t="shared" si="40"/>
        <v>0</v>
      </c>
      <c r="U62" s="261">
        <f t="shared" si="40"/>
        <v>0</v>
      </c>
      <c r="V62" s="261">
        <f t="shared" si="40"/>
        <v>0</v>
      </c>
      <c r="W62" s="261">
        <f t="shared" si="40"/>
        <v>0</v>
      </c>
      <c r="X62" s="261">
        <f t="shared" si="40"/>
        <v>0</v>
      </c>
      <c r="Y62" s="261">
        <f t="shared" si="40"/>
        <v>0</v>
      </c>
      <c r="Z62" s="261">
        <f t="shared" si="40"/>
        <v>0</v>
      </c>
      <c r="AA62" s="261">
        <f t="shared" si="40"/>
        <v>0</v>
      </c>
      <c r="AB62" s="261">
        <f t="shared" si="40"/>
        <v>0</v>
      </c>
      <c r="AC62" s="261">
        <f t="shared" si="40"/>
        <v>0</v>
      </c>
      <c r="AD62" s="261">
        <f t="shared" si="40"/>
        <v>0</v>
      </c>
      <c r="AE62" s="261">
        <f t="shared" si="40"/>
        <v>0</v>
      </c>
      <c r="AF62" s="261">
        <f t="shared" si="40"/>
        <v>-1.9000000000000003E-2</v>
      </c>
      <c r="AG62" s="261">
        <f t="shared" si="40"/>
        <v>0</v>
      </c>
      <c r="AH62" s="261">
        <f t="shared" si="40"/>
        <v>0</v>
      </c>
      <c r="AI62" s="430">
        <f>ROUND(SUM(G62:AH62),1)</f>
        <v>0</v>
      </c>
    </row>
    <row r="63" spans="1:35">
      <c r="A63" s="652"/>
      <c r="B63" s="652"/>
      <c r="C63" s="22" t="s">
        <v>78</v>
      </c>
      <c r="D63" s="434">
        <f t="shared" ref="D63:AH63" si="41">D41-D19</f>
        <v>0</v>
      </c>
      <c r="E63" s="434">
        <f t="shared" si="41"/>
        <v>0</v>
      </c>
      <c r="F63" s="434">
        <f t="shared" si="41"/>
        <v>0</v>
      </c>
      <c r="G63" s="434">
        <f t="shared" si="41"/>
        <v>0</v>
      </c>
      <c r="H63" s="434">
        <f t="shared" si="41"/>
        <v>0</v>
      </c>
      <c r="I63" s="434">
        <f t="shared" si="41"/>
        <v>0</v>
      </c>
      <c r="J63" s="434">
        <f t="shared" si="41"/>
        <v>0</v>
      </c>
      <c r="K63" s="434">
        <f t="shared" si="41"/>
        <v>0</v>
      </c>
      <c r="L63" s="434">
        <f t="shared" si="41"/>
        <v>-3.2000000000000001E-2</v>
      </c>
      <c r="M63" s="434">
        <f t="shared" si="41"/>
        <v>0</v>
      </c>
      <c r="N63" s="434">
        <f t="shared" si="41"/>
        <v>0</v>
      </c>
      <c r="O63" s="434">
        <f t="shared" si="41"/>
        <v>0</v>
      </c>
      <c r="P63" s="434">
        <f t="shared" si="41"/>
        <v>0</v>
      </c>
      <c r="Q63" s="434">
        <f t="shared" si="41"/>
        <v>0</v>
      </c>
      <c r="R63" s="434">
        <f t="shared" si="41"/>
        <v>0</v>
      </c>
      <c r="S63" s="434">
        <f t="shared" si="41"/>
        <v>0</v>
      </c>
      <c r="T63" s="434">
        <f t="shared" si="41"/>
        <v>0</v>
      </c>
      <c r="U63" s="434">
        <f t="shared" si="41"/>
        <v>0</v>
      </c>
      <c r="V63" s="434">
        <f t="shared" si="41"/>
        <v>0</v>
      </c>
      <c r="W63" s="434">
        <f t="shared" si="41"/>
        <v>0</v>
      </c>
      <c r="X63" s="434">
        <f t="shared" si="41"/>
        <v>0</v>
      </c>
      <c r="Y63" s="434">
        <f t="shared" si="41"/>
        <v>0</v>
      </c>
      <c r="Z63" s="434">
        <f t="shared" si="41"/>
        <v>0</v>
      </c>
      <c r="AA63" s="434">
        <f t="shared" si="41"/>
        <v>0</v>
      </c>
      <c r="AB63" s="434">
        <f t="shared" si="41"/>
        <v>0</v>
      </c>
      <c r="AC63" s="434">
        <f t="shared" si="41"/>
        <v>0</v>
      </c>
      <c r="AD63" s="434">
        <f t="shared" si="41"/>
        <v>0</v>
      </c>
      <c r="AE63" s="434">
        <f t="shared" si="41"/>
        <v>0</v>
      </c>
      <c r="AF63" s="434">
        <f t="shared" si="41"/>
        <v>-3.3000000000000002E-2</v>
      </c>
      <c r="AG63" s="434">
        <f t="shared" si="41"/>
        <v>0</v>
      </c>
      <c r="AH63" s="434">
        <f t="shared" si="41"/>
        <v>0</v>
      </c>
      <c r="AI63" s="431">
        <f>ROUND(SUM(G63:AH63),1)</f>
        <v>-0.1</v>
      </c>
    </row>
    <row r="64" spans="1:35">
      <c r="A64" s="652"/>
      <c r="B64" s="652"/>
      <c r="C64" s="22" t="s">
        <v>79</v>
      </c>
      <c r="D64" s="434">
        <f t="shared" ref="D64:AH64" si="42">D42-D20</f>
        <v>0</v>
      </c>
      <c r="E64" s="434">
        <f t="shared" si="42"/>
        <v>0</v>
      </c>
      <c r="F64" s="434">
        <f t="shared" si="42"/>
        <v>0</v>
      </c>
      <c r="G64" s="434">
        <f t="shared" si="42"/>
        <v>-0.29999999999999982</v>
      </c>
      <c r="H64" s="434">
        <f t="shared" si="42"/>
        <v>-0.29999999999999982</v>
      </c>
      <c r="I64" s="434">
        <f t="shared" si="42"/>
        <v>-0.29999999999999982</v>
      </c>
      <c r="J64" s="434">
        <f t="shared" si="42"/>
        <v>-0.29999999999999982</v>
      </c>
      <c r="K64" s="434">
        <f t="shared" si="42"/>
        <v>-0.29999999999999982</v>
      </c>
      <c r="L64" s="434">
        <f t="shared" si="42"/>
        <v>-0.33999999999999986</v>
      </c>
      <c r="M64" s="434">
        <f t="shared" si="42"/>
        <v>-0.29999999999999982</v>
      </c>
      <c r="N64" s="434">
        <f t="shared" si="42"/>
        <v>-0.29999999999999982</v>
      </c>
      <c r="O64" s="434">
        <f t="shared" si="42"/>
        <v>-0.29999999999999982</v>
      </c>
      <c r="P64" s="434">
        <f t="shared" si="42"/>
        <v>-0.29999999999999982</v>
      </c>
      <c r="Q64" s="434">
        <f t="shared" si="42"/>
        <v>-0.39999999999999991</v>
      </c>
      <c r="R64" s="434">
        <f t="shared" si="42"/>
        <v>-0.39999999999999991</v>
      </c>
      <c r="S64" s="434">
        <f t="shared" si="42"/>
        <v>-0.39999999999999991</v>
      </c>
      <c r="T64" s="434">
        <f t="shared" si="42"/>
        <v>-0.39999999999999991</v>
      </c>
      <c r="U64" s="434">
        <f t="shared" si="42"/>
        <v>-0.39999999999999991</v>
      </c>
      <c r="V64" s="434">
        <f t="shared" si="42"/>
        <v>-0.39999999999999991</v>
      </c>
      <c r="W64" s="434">
        <f t="shared" si="42"/>
        <v>-0.39999999999999991</v>
      </c>
      <c r="X64" s="434">
        <f t="shared" si="42"/>
        <v>-0.39999999999999991</v>
      </c>
      <c r="Y64" s="434">
        <f t="shared" si="42"/>
        <v>-0.39999999999999991</v>
      </c>
      <c r="Z64" s="434">
        <f t="shared" si="42"/>
        <v>-0.30000000000000004</v>
      </c>
      <c r="AA64" s="434">
        <f t="shared" si="42"/>
        <v>-0.30000000000000004</v>
      </c>
      <c r="AB64" s="434">
        <f t="shared" si="42"/>
        <v>-0.30000000000000004</v>
      </c>
      <c r="AC64" s="434">
        <f t="shared" si="42"/>
        <v>-0.30000000000000004</v>
      </c>
      <c r="AD64" s="434">
        <f t="shared" si="42"/>
        <v>-0.30000000000000004</v>
      </c>
      <c r="AE64" s="434">
        <f t="shared" si="42"/>
        <v>-0.30000000000000004</v>
      </c>
      <c r="AF64" s="434">
        <f t="shared" si="42"/>
        <v>-0.375</v>
      </c>
      <c r="AG64" s="434">
        <f t="shared" si="42"/>
        <v>-0.40000000000000013</v>
      </c>
      <c r="AH64" s="434">
        <f t="shared" si="42"/>
        <v>-0.40000000000000013</v>
      </c>
      <c r="AI64" s="431">
        <f>ROUND(SUM(G64:AH64),1)</f>
        <v>-9.6</v>
      </c>
    </row>
    <row r="65" spans="1:35">
      <c r="A65" s="653"/>
      <c r="B65" s="653"/>
      <c r="C65" s="24" t="s">
        <v>448</v>
      </c>
      <c r="D65" s="435">
        <f t="shared" ref="D65:AH65" si="43">D43-D21</f>
        <v>0</v>
      </c>
      <c r="E65" s="435">
        <f t="shared" si="43"/>
        <v>0</v>
      </c>
      <c r="F65" s="435">
        <f t="shared" si="43"/>
        <v>0</v>
      </c>
      <c r="G65" s="435">
        <f t="shared" si="43"/>
        <v>-1.6999999999999993</v>
      </c>
      <c r="H65" s="435">
        <f t="shared" si="43"/>
        <v>-1.8000000000000007</v>
      </c>
      <c r="I65" s="435">
        <f t="shared" si="43"/>
        <v>-1.7000000000000011</v>
      </c>
      <c r="J65" s="435">
        <f t="shared" si="43"/>
        <v>-1.7000000000000011</v>
      </c>
      <c r="K65" s="435">
        <f t="shared" si="43"/>
        <v>-1.7000000000000002</v>
      </c>
      <c r="L65" s="435">
        <f t="shared" si="43"/>
        <v>-1.7000000000000002</v>
      </c>
      <c r="M65" s="435">
        <f t="shared" si="43"/>
        <v>-1.7000000000000002</v>
      </c>
      <c r="N65" s="435">
        <f t="shared" si="43"/>
        <v>-1.7000000000000002</v>
      </c>
      <c r="O65" s="435">
        <f t="shared" si="43"/>
        <v>-1.7000000000000002</v>
      </c>
      <c r="P65" s="435">
        <f t="shared" si="43"/>
        <v>-1.5999999999999996</v>
      </c>
      <c r="Q65" s="435">
        <f t="shared" si="43"/>
        <v>-1.6999999999999993</v>
      </c>
      <c r="R65" s="435">
        <f t="shared" si="43"/>
        <v>-1.6999999999999993</v>
      </c>
      <c r="S65" s="435">
        <f t="shared" si="43"/>
        <v>-1.5999999999999996</v>
      </c>
      <c r="T65" s="435">
        <f t="shared" si="43"/>
        <v>-1.6999999999999993</v>
      </c>
      <c r="U65" s="435">
        <f t="shared" si="43"/>
        <v>-1.5999999999999996</v>
      </c>
      <c r="V65" s="435">
        <f t="shared" si="43"/>
        <v>-1.7000000000000011</v>
      </c>
      <c r="W65" s="435">
        <f t="shared" si="43"/>
        <v>-1.7000000000000011</v>
      </c>
      <c r="X65" s="435">
        <f t="shared" si="43"/>
        <v>-1.6000000000000005</v>
      </c>
      <c r="Y65" s="435">
        <f t="shared" si="43"/>
        <v>-1.7000000000000002</v>
      </c>
      <c r="Z65" s="435">
        <f t="shared" si="43"/>
        <v>-1.6000000000000005</v>
      </c>
      <c r="AA65" s="435">
        <f t="shared" si="43"/>
        <v>-1.6000000000000005</v>
      </c>
      <c r="AB65" s="435">
        <f t="shared" si="43"/>
        <v>-1.7000000000000002</v>
      </c>
      <c r="AC65" s="435">
        <f t="shared" si="43"/>
        <v>-1.5999999999999996</v>
      </c>
      <c r="AD65" s="435">
        <f t="shared" si="43"/>
        <v>-1.5999999999999996</v>
      </c>
      <c r="AE65" s="435">
        <f t="shared" si="43"/>
        <v>-1.5999999999999996</v>
      </c>
      <c r="AF65" s="435">
        <f t="shared" si="43"/>
        <v>-1.5999999999999996</v>
      </c>
      <c r="AG65" s="435">
        <f t="shared" si="43"/>
        <v>-1.5999999999999996</v>
      </c>
      <c r="AH65" s="435">
        <f t="shared" si="43"/>
        <v>-1.5999999999999996</v>
      </c>
      <c r="AI65" s="432">
        <f>ROUND(SUM(G65:AH65),1)</f>
        <v>-46.5</v>
      </c>
    </row>
    <row r="66" spans="1:35" ht="13.5" thickBot="1">
      <c r="C66" s="22" t="s">
        <v>449</v>
      </c>
      <c r="D66" s="22"/>
      <c r="E66" s="22"/>
      <c r="F66" s="22"/>
      <c r="AI66" s="433">
        <f>SUM(AI62:AI65)</f>
        <v>-56.2</v>
      </c>
    </row>
  </sheetData>
  <mergeCells count="18">
    <mergeCell ref="A4:A7"/>
    <mergeCell ref="B4:B7"/>
    <mergeCell ref="A11:A14"/>
    <mergeCell ref="B11:B14"/>
    <mergeCell ref="A18:A21"/>
    <mergeCell ref="B18:B21"/>
    <mergeCell ref="A26:A29"/>
    <mergeCell ref="B26:B29"/>
    <mergeCell ref="A33:A36"/>
    <mergeCell ref="B33:B36"/>
    <mergeCell ref="A40:A43"/>
    <mergeCell ref="B40:B43"/>
    <mergeCell ref="A48:A51"/>
    <mergeCell ref="B48:B51"/>
    <mergeCell ref="A55:A58"/>
    <mergeCell ref="B55:B58"/>
    <mergeCell ref="A62:A65"/>
    <mergeCell ref="B62:B65"/>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0EA11-74EE-40CA-B312-BC80C32E2AF0}">
  <sheetPr>
    <tabColor rgb="FFCCEEFC"/>
  </sheetPr>
  <dimension ref="A1:Z76"/>
  <sheetViews>
    <sheetView topLeftCell="A46" zoomScale="85" zoomScaleNormal="85" workbookViewId="0">
      <selection activeCell="A3" sqref="A3"/>
    </sheetView>
  </sheetViews>
  <sheetFormatPr defaultRowHeight="15"/>
  <cols>
    <col min="3" max="3" width="9.28515625" bestFit="1" customWidth="1"/>
    <col min="4" max="4" width="12.42578125" bestFit="1" customWidth="1"/>
    <col min="5" max="5" width="18.85546875" bestFit="1" customWidth="1"/>
    <col min="6" max="6" width="25.85546875" bestFit="1" customWidth="1"/>
    <col min="7" max="7" width="13.28515625" bestFit="1" customWidth="1"/>
    <col min="8" max="8" width="9.28515625" bestFit="1" customWidth="1"/>
    <col min="12" max="12" width="9.28515625" bestFit="1" customWidth="1"/>
    <col min="14" max="14" width="9.28515625" bestFit="1" customWidth="1"/>
    <col min="16" max="16" width="11.5703125" bestFit="1" customWidth="1"/>
    <col min="17" max="17" width="12.85546875" bestFit="1" customWidth="1"/>
    <col min="18" max="19" width="9.28515625" bestFit="1" customWidth="1"/>
    <col min="21" max="21" width="15.85546875" customWidth="1"/>
    <col min="22" max="22" width="26.28515625" customWidth="1"/>
    <col min="23" max="23" width="25.42578125" customWidth="1"/>
    <col min="25" max="25" width="27.28515625" bestFit="1" customWidth="1"/>
    <col min="26" max="26" width="91.85546875" bestFit="1" customWidth="1"/>
  </cols>
  <sheetData>
    <row r="1" spans="1:26" ht="15.75" thickBot="1"/>
    <row r="2" spans="1:26">
      <c r="A2" s="661" t="s">
        <v>454</v>
      </c>
      <c r="B2" s="662"/>
      <c r="C2" s="662"/>
      <c r="D2" s="662"/>
      <c r="E2" s="662"/>
      <c r="F2" s="662"/>
      <c r="G2" s="662"/>
      <c r="H2" s="662"/>
      <c r="I2" s="662"/>
      <c r="J2" s="662"/>
      <c r="K2" s="662"/>
      <c r="L2" s="662"/>
      <c r="M2" s="662"/>
      <c r="N2" s="662"/>
      <c r="O2" s="662"/>
      <c r="P2" s="662"/>
      <c r="Q2" s="662"/>
      <c r="R2" s="662"/>
      <c r="S2" s="662"/>
      <c r="T2" s="662"/>
      <c r="U2" s="662"/>
      <c r="V2" s="662"/>
      <c r="W2" s="662"/>
      <c r="X2" s="662"/>
      <c r="Y2" s="662"/>
      <c r="Z2" s="663"/>
    </row>
    <row r="3" spans="1:26" ht="15.75">
      <c r="A3" s="437" t="s">
        <v>455</v>
      </c>
      <c r="B3" s="438" t="s">
        <v>456</v>
      </c>
      <c r="C3" s="438" t="s">
        <v>457</v>
      </c>
      <c r="D3" s="438" t="s">
        <v>458</v>
      </c>
      <c r="E3" s="438" t="s">
        <v>459</v>
      </c>
      <c r="F3" s="438" t="s">
        <v>460</v>
      </c>
      <c r="G3" s="438" t="s">
        <v>461</v>
      </c>
      <c r="H3" s="438" t="s">
        <v>462</v>
      </c>
      <c r="I3" s="438" t="s">
        <v>463</v>
      </c>
      <c r="J3" s="438" t="s">
        <v>464</v>
      </c>
      <c r="K3" s="438" t="s">
        <v>465</v>
      </c>
      <c r="L3" s="438" t="s">
        <v>466</v>
      </c>
      <c r="M3" s="438" t="s">
        <v>467</v>
      </c>
      <c r="N3" s="438" t="s">
        <v>468</v>
      </c>
      <c r="O3" s="438" t="s">
        <v>469</v>
      </c>
      <c r="P3" s="438" t="s">
        <v>470</v>
      </c>
      <c r="Q3" s="438" t="s">
        <v>471</v>
      </c>
      <c r="R3" s="438" t="s">
        <v>472</v>
      </c>
      <c r="S3" s="438" t="s">
        <v>473</v>
      </c>
      <c r="T3" s="438" t="s">
        <v>474</v>
      </c>
      <c r="U3" s="438" t="s">
        <v>475</v>
      </c>
      <c r="V3" s="438" t="s">
        <v>476</v>
      </c>
      <c r="W3" s="438" t="s">
        <v>477</v>
      </c>
      <c r="X3" s="438" t="s">
        <v>478</v>
      </c>
      <c r="Y3" s="438" t="s">
        <v>479</v>
      </c>
      <c r="Z3" s="439" t="s">
        <v>480</v>
      </c>
    </row>
    <row r="4" spans="1:26" ht="15.75">
      <c r="A4" s="440" t="s">
        <v>481</v>
      </c>
      <c r="B4" s="43" t="s">
        <v>482</v>
      </c>
      <c r="C4" s="43">
        <v>80.457999999999998</v>
      </c>
      <c r="D4" s="43" t="s">
        <v>483</v>
      </c>
      <c r="E4" s="441">
        <v>43174</v>
      </c>
      <c r="F4" s="43" t="s">
        <v>484</v>
      </c>
      <c r="G4" s="43" t="s">
        <v>485</v>
      </c>
      <c r="H4" s="43">
        <v>0</v>
      </c>
      <c r="I4" s="43" t="s">
        <v>486</v>
      </c>
      <c r="J4" s="43" t="s">
        <v>487</v>
      </c>
      <c r="K4" s="43" t="s">
        <v>488</v>
      </c>
      <c r="L4" s="43">
        <v>9</v>
      </c>
      <c r="M4" s="43" t="s">
        <v>489</v>
      </c>
      <c r="N4" s="43">
        <v>2043</v>
      </c>
      <c r="O4" s="43" t="s">
        <v>490</v>
      </c>
      <c r="P4" s="43">
        <v>7758726</v>
      </c>
      <c r="Q4" s="43">
        <v>171210151</v>
      </c>
      <c r="R4" s="43">
        <v>37.250169999999997</v>
      </c>
      <c r="S4" s="43">
        <v>-93.260869999999997</v>
      </c>
      <c r="T4" s="43" t="s">
        <v>491</v>
      </c>
      <c r="U4" s="43">
        <v>2</v>
      </c>
      <c r="V4" s="43"/>
      <c r="W4" s="43" t="s">
        <v>492</v>
      </c>
      <c r="X4" s="43" t="s">
        <v>493</v>
      </c>
      <c r="Y4" s="43" t="s">
        <v>494</v>
      </c>
      <c r="Z4" s="442" t="s">
        <v>495</v>
      </c>
    </row>
    <row r="5" spans="1:26" ht="15.75">
      <c r="A5" s="440" t="s">
        <v>481</v>
      </c>
      <c r="B5" s="43" t="s">
        <v>496</v>
      </c>
      <c r="C5" s="43">
        <v>231.06399999999999</v>
      </c>
      <c r="D5" s="43" t="s">
        <v>483</v>
      </c>
      <c r="E5" s="441">
        <v>43187</v>
      </c>
      <c r="F5" s="43" t="s">
        <v>497</v>
      </c>
      <c r="G5" s="43" t="s">
        <v>498</v>
      </c>
      <c r="H5" s="43">
        <v>0</v>
      </c>
      <c r="I5" s="43" t="s">
        <v>499</v>
      </c>
      <c r="J5" s="43" t="s">
        <v>487</v>
      </c>
      <c r="K5" s="43" t="s">
        <v>488</v>
      </c>
      <c r="L5" s="43">
        <v>2011</v>
      </c>
      <c r="M5" s="43" t="s">
        <v>500</v>
      </c>
      <c r="N5" s="43">
        <v>1814</v>
      </c>
      <c r="O5" s="43" t="s">
        <v>490</v>
      </c>
      <c r="P5" s="43">
        <v>33612716</v>
      </c>
      <c r="Q5" s="43">
        <v>212137540</v>
      </c>
      <c r="R5" s="43">
        <v>37.250390000000003</v>
      </c>
      <c r="S5" s="43">
        <v>-93.31062</v>
      </c>
      <c r="T5" s="43" t="s">
        <v>491</v>
      </c>
      <c r="U5" s="43">
        <v>2</v>
      </c>
      <c r="V5" s="43"/>
      <c r="W5" s="43" t="s">
        <v>492</v>
      </c>
      <c r="X5" s="43" t="s">
        <v>501</v>
      </c>
      <c r="Y5" s="43" t="s">
        <v>502</v>
      </c>
      <c r="Z5" s="442" t="s">
        <v>503</v>
      </c>
    </row>
    <row r="6" spans="1:26" ht="15.75">
      <c r="A6" s="440" t="s">
        <v>481</v>
      </c>
      <c r="B6" s="43" t="s">
        <v>482</v>
      </c>
      <c r="C6" s="43">
        <v>80.025999999999996</v>
      </c>
      <c r="D6" s="43" t="s">
        <v>483</v>
      </c>
      <c r="E6" s="441">
        <v>43250</v>
      </c>
      <c r="F6" s="43" t="s">
        <v>497</v>
      </c>
      <c r="G6" s="43" t="s">
        <v>504</v>
      </c>
      <c r="H6" s="43">
        <v>0</v>
      </c>
      <c r="I6" s="43" t="s">
        <v>499</v>
      </c>
      <c r="J6" s="43" t="s">
        <v>487</v>
      </c>
      <c r="K6" s="43" t="s">
        <v>488</v>
      </c>
      <c r="L6" s="43">
        <v>9</v>
      </c>
      <c r="M6" s="43" t="s">
        <v>500</v>
      </c>
      <c r="N6" s="43">
        <v>756</v>
      </c>
      <c r="O6" s="43" t="s">
        <v>490</v>
      </c>
      <c r="P6" s="43">
        <v>9379562</v>
      </c>
      <c r="Q6" s="43">
        <v>173715597</v>
      </c>
      <c r="R6" s="43">
        <v>37.25018</v>
      </c>
      <c r="S6" s="43">
        <v>-93.268720000000002</v>
      </c>
      <c r="T6" s="43" t="s">
        <v>491</v>
      </c>
      <c r="U6" s="43">
        <v>2</v>
      </c>
      <c r="V6" s="43"/>
      <c r="W6" s="43" t="s">
        <v>492</v>
      </c>
      <c r="X6" s="43" t="s">
        <v>493</v>
      </c>
      <c r="Y6" s="43" t="s">
        <v>505</v>
      </c>
      <c r="Z6" s="442" t="s">
        <v>506</v>
      </c>
    </row>
    <row r="7" spans="1:26" ht="15.75">
      <c r="A7" s="440" t="s">
        <v>481</v>
      </c>
      <c r="B7" s="43" t="s">
        <v>507</v>
      </c>
      <c r="C7" s="43">
        <v>216.96</v>
      </c>
      <c r="D7" s="43" t="s">
        <v>483</v>
      </c>
      <c r="E7" s="441">
        <v>43263</v>
      </c>
      <c r="F7" s="43" t="s">
        <v>497</v>
      </c>
      <c r="G7" s="43" t="s">
        <v>508</v>
      </c>
      <c r="H7" s="43">
        <v>0</v>
      </c>
      <c r="I7" s="43" t="s">
        <v>499</v>
      </c>
      <c r="J7" s="43" t="s">
        <v>487</v>
      </c>
      <c r="K7" s="43" t="s">
        <v>488</v>
      </c>
      <c r="L7" s="43">
        <v>10</v>
      </c>
      <c r="M7" s="43" t="s">
        <v>509</v>
      </c>
      <c r="N7" s="43">
        <v>1642</v>
      </c>
      <c r="O7" s="43" t="s">
        <v>490</v>
      </c>
      <c r="P7" s="43">
        <v>33620042</v>
      </c>
      <c r="Q7" s="43">
        <v>212159448</v>
      </c>
      <c r="R7" s="43">
        <v>37.250419999999998</v>
      </c>
      <c r="S7" s="43">
        <v>-93.338179999999994</v>
      </c>
      <c r="T7" s="43" t="s">
        <v>491</v>
      </c>
      <c r="U7" s="43">
        <v>2</v>
      </c>
      <c r="V7" s="43"/>
      <c r="W7" s="43" t="s">
        <v>492</v>
      </c>
      <c r="X7" s="43" t="s">
        <v>493</v>
      </c>
      <c r="Y7" s="43" t="s">
        <v>510</v>
      </c>
      <c r="Z7" s="442" t="s">
        <v>511</v>
      </c>
    </row>
    <row r="8" spans="1:26" ht="15.75">
      <c r="A8" s="440" t="s">
        <v>481</v>
      </c>
      <c r="B8" s="43" t="s">
        <v>507</v>
      </c>
      <c r="C8" s="43">
        <v>215.34899999999999</v>
      </c>
      <c r="D8" s="43" t="s">
        <v>483</v>
      </c>
      <c r="E8" s="441">
        <v>43268</v>
      </c>
      <c r="F8" s="43" t="s">
        <v>497</v>
      </c>
      <c r="G8" s="43" t="s">
        <v>512</v>
      </c>
      <c r="H8" s="43">
        <v>0</v>
      </c>
      <c r="I8" s="43" t="s">
        <v>499</v>
      </c>
      <c r="J8" s="43" t="s">
        <v>487</v>
      </c>
      <c r="K8" s="43" t="s">
        <v>488</v>
      </c>
      <c r="L8" s="43">
        <v>10</v>
      </c>
      <c r="M8" s="43" t="s">
        <v>513</v>
      </c>
      <c r="N8" s="43">
        <v>1037</v>
      </c>
      <c r="O8" s="43" t="s">
        <v>514</v>
      </c>
      <c r="P8" s="43">
        <v>33615210</v>
      </c>
      <c r="Q8" s="43">
        <v>212145408</v>
      </c>
      <c r="R8" s="43">
        <v>37.250390000000003</v>
      </c>
      <c r="S8" s="43">
        <v>-93.308949999999996</v>
      </c>
      <c r="T8" s="43" t="s">
        <v>491</v>
      </c>
      <c r="U8" s="43">
        <v>2</v>
      </c>
      <c r="V8" s="43" t="s">
        <v>515</v>
      </c>
      <c r="W8" s="43" t="s">
        <v>492</v>
      </c>
      <c r="X8" s="43" t="s">
        <v>493</v>
      </c>
      <c r="Y8" s="43" t="s">
        <v>516</v>
      </c>
      <c r="Z8" s="442" t="s">
        <v>517</v>
      </c>
    </row>
    <row r="9" spans="1:26" ht="15.75">
      <c r="A9" s="440" t="s">
        <v>481</v>
      </c>
      <c r="B9" s="43" t="s">
        <v>507</v>
      </c>
      <c r="C9" s="43">
        <v>210.702</v>
      </c>
      <c r="D9" s="43" t="s">
        <v>483</v>
      </c>
      <c r="E9" s="441">
        <v>43291</v>
      </c>
      <c r="F9" s="43" t="s">
        <v>497</v>
      </c>
      <c r="G9" s="43" t="s">
        <v>518</v>
      </c>
      <c r="H9" s="43">
        <v>0</v>
      </c>
      <c r="I9" s="43" t="s">
        <v>499</v>
      </c>
      <c r="J9" s="43" t="s">
        <v>487</v>
      </c>
      <c r="K9" s="43" t="s">
        <v>519</v>
      </c>
      <c r="L9" s="43">
        <v>10</v>
      </c>
      <c r="M9" s="43" t="s">
        <v>509</v>
      </c>
      <c r="N9" s="43">
        <v>1610</v>
      </c>
      <c r="O9" s="43" t="s">
        <v>490</v>
      </c>
      <c r="P9" s="43">
        <v>33615166</v>
      </c>
      <c r="Q9" s="43">
        <v>212145284</v>
      </c>
      <c r="R9" s="43">
        <v>37.250360000000001</v>
      </c>
      <c r="S9" s="43">
        <v>-93.224590000000006</v>
      </c>
      <c r="T9" s="43" t="s">
        <v>491</v>
      </c>
      <c r="U9" s="43">
        <v>2</v>
      </c>
      <c r="V9" s="43"/>
      <c r="W9" s="43" t="s">
        <v>492</v>
      </c>
      <c r="X9" s="43" t="s">
        <v>493</v>
      </c>
      <c r="Y9" s="43" t="s">
        <v>494</v>
      </c>
      <c r="Z9" s="442" t="s">
        <v>520</v>
      </c>
    </row>
    <row r="10" spans="1:26" ht="15.75">
      <c r="A10" s="440" t="s">
        <v>481</v>
      </c>
      <c r="B10" s="43" t="s">
        <v>482</v>
      </c>
      <c r="C10" s="43">
        <v>79.989000000000004</v>
      </c>
      <c r="D10" s="43" t="s">
        <v>483</v>
      </c>
      <c r="E10" s="441">
        <v>43303</v>
      </c>
      <c r="F10" s="43" t="s">
        <v>497</v>
      </c>
      <c r="G10" s="43" t="s">
        <v>521</v>
      </c>
      <c r="H10" s="43">
        <v>0</v>
      </c>
      <c r="I10" s="43" t="s">
        <v>499</v>
      </c>
      <c r="J10" s="43" t="s">
        <v>487</v>
      </c>
      <c r="K10" s="43" t="s">
        <v>488</v>
      </c>
      <c r="L10" s="43">
        <v>9</v>
      </c>
      <c r="M10" s="43" t="s">
        <v>513</v>
      </c>
      <c r="N10" s="43">
        <v>1138</v>
      </c>
      <c r="O10" s="43" t="s">
        <v>490</v>
      </c>
      <c r="P10" s="43">
        <v>9662061</v>
      </c>
      <c r="Q10" s="43">
        <v>175395329</v>
      </c>
      <c r="R10" s="43">
        <v>37.25018</v>
      </c>
      <c r="S10" s="43">
        <v>-93.269400000000005</v>
      </c>
      <c r="T10" s="43" t="s">
        <v>491</v>
      </c>
      <c r="U10" s="43">
        <v>3</v>
      </c>
      <c r="V10" s="43"/>
      <c r="W10" s="43" t="s">
        <v>492</v>
      </c>
      <c r="X10" s="43" t="s">
        <v>493</v>
      </c>
      <c r="Y10" s="43" t="s">
        <v>522</v>
      </c>
      <c r="Z10" s="442" t="s">
        <v>523</v>
      </c>
    </row>
    <row r="11" spans="1:26" ht="15.75">
      <c r="A11" s="440" t="s">
        <v>481</v>
      </c>
      <c r="B11" s="43" t="s">
        <v>507</v>
      </c>
      <c r="C11" s="43">
        <v>216.441</v>
      </c>
      <c r="D11" s="43" t="s">
        <v>483</v>
      </c>
      <c r="E11" s="441">
        <v>43303</v>
      </c>
      <c r="F11" s="43" t="s">
        <v>497</v>
      </c>
      <c r="G11" s="43" t="s">
        <v>524</v>
      </c>
      <c r="H11" s="43">
        <v>0</v>
      </c>
      <c r="I11" s="43" t="s">
        <v>499</v>
      </c>
      <c r="J11" s="43" t="s">
        <v>487</v>
      </c>
      <c r="K11" s="43" t="s">
        <v>488</v>
      </c>
      <c r="L11" s="43">
        <v>10</v>
      </c>
      <c r="M11" s="43" t="s">
        <v>513</v>
      </c>
      <c r="N11" s="43">
        <v>1239</v>
      </c>
      <c r="O11" s="43" t="s">
        <v>490</v>
      </c>
      <c r="P11" s="43">
        <v>33615509</v>
      </c>
      <c r="Q11" s="43">
        <v>212146357</v>
      </c>
      <c r="R11" s="43">
        <v>37.250410000000002</v>
      </c>
      <c r="S11" s="43">
        <v>-93.328760000000003</v>
      </c>
      <c r="T11" s="43" t="s">
        <v>491</v>
      </c>
      <c r="U11" s="43">
        <v>2</v>
      </c>
      <c r="V11" s="43"/>
      <c r="W11" s="43" t="s">
        <v>492</v>
      </c>
      <c r="X11" s="43" t="s">
        <v>493</v>
      </c>
      <c r="Y11" s="43" t="s">
        <v>525</v>
      </c>
      <c r="Z11" s="442" t="s">
        <v>526</v>
      </c>
    </row>
    <row r="12" spans="1:26" ht="15.75">
      <c r="A12" s="440" t="s">
        <v>481</v>
      </c>
      <c r="B12" s="43" t="s">
        <v>507</v>
      </c>
      <c r="C12" s="43">
        <v>212.566</v>
      </c>
      <c r="D12" s="43" t="s">
        <v>483</v>
      </c>
      <c r="E12" s="441">
        <v>43304</v>
      </c>
      <c r="F12" s="43" t="s">
        <v>497</v>
      </c>
      <c r="G12" s="43" t="s">
        <v>527</v>
      </c>
      <c r="H12" s="43">
        <v>0</v>
      </c>
      <c r="I12" s="43" t="s">
        <v>499</v>
      </c>
      <c r="J12" s="43" t="s">
        <v>487</v>
      </c>
      <c r="K12" s="43" t="s">
        <v>519</v>
      </c>
      <c r="L12" s="43">
        <v>10</v>
      </c>
      <c r="M12" s="43" t="s">
        <v>528</v>
      </c>
      <c r="N12" s="43">
        <v>1247</v>
      </c>
      <c r="O12" s="43" t="s">
        <v>490</v>
      </c>
      <c r="P12" s="43">
        <v>33615625</v>
      </c>
      <c r="Q12" s="43">
        <v>212146723</v>
      </c>
      <c r="R12" s="43">
        <v>37.250349999999997</v>
      </c>
      <c r="S12" s="43">
        <v>-93.258430000000004</v>
      </c>
      <c r="T12" s="43" t="s">
        <v>491</v>
      </c>
      <c r="U12" s="43">
        <v>2</v>
      </c>
      <c r="V12" s="43"/>
      <c r="W12" s="43" t="s">
        <v>492</v>
      </c>
      <c r="X12" s="43" t="s">
        <v>493</v>
      </c>
      <c r="Y12" s="43" t="s">
        <v>529</v>
      </c>
      <c r="Z12" s="442" t="s">
        <v>530</v>
      </c>
    </row>
    <row r="13" spans="1:26" ht="15.75">
      <c r="A13" s="440" t="s">
        <v>481</v>
      </c>
      <c r="B13" s="43" t="s">
        <v>507</v>
      </c>
      <c r="C13" s="43">
        <v>212.714</v>
      </c>
      <c r="D13" s="43" t="s">
        <v>531</v>
      </c>
      <c r="E13" s="441">
        <v>43324</v>
      </c>
      <c r="F13" s="43" t="s">
        <v>497</v>
      </c>
      <c r="G13" s="43" t="s">
        <v>532</v>
      </c>
      <c r="H13" s="43">
        <v>0</v>
      </c>
      <c r="I13" s="43" t="s">
        <v>499</v>
      </c>
      <c r="J13" s="43" t="s">
        <v>487</v>
      </c>
      <c r="K13" s="43" t="s">
        <v>488</v>
      </c>
      <c r="L13" s="43">
        <v>10</v>
      </c>
      <c r="M13" s="43" t="s">
        <v>513</v>
      </c>
      <c r="N13" s="43">
        <v>1502</v>
      </c>
      <c r="O13" s="43" t="s">
        <v>490</v>
      </c>
      <c r="P13" s="43">
        <v>33615751</v>
      </c>
      <c r="Q13" s="43">
        <v>212147133</v>
      </c>
      <c r="R13" s="43">
        <v>37.250349999999997</v>
      </c>
      <c r="S13" s="43">
        <v>-93.261120000000005</v>
      </c>
      <c r="T13" s="43" t="s">
        <v>491</v>
      </c>
      <c r="U13" s="43">
        <v>2</v>
      </c>
      <c r="V13" s="43"/>
      <c r="W13" s="43" t="s">
        <v>492</v>
      </c>
      <c r="X13" s="43" t="s">
        <v>493</v>
      </c>
      <c r="Y13" s="43" t="s">
        <v>533</v>
      </c>
      <c r="Z13" s="442" t="s">
        <v>534</v>
      </c>
    </row>
    <row r="14" spans="1:26" ht="15.75">
      <c r="A14" s="440" t="s">
        <v>481</v>
      </c>
      <c r="B14" s="43" t="s">
        <v>507</v>
      </c>
      <c r="C14" s="43">
        <v>210.58799999999999</v>
      </c>
      <c r="D14" s="43" t="s">
        <v>483</v>
      </c>
      <c r="E14" s="441">
        <v>43364</v>
      </c>
      <c r="F14" s="43" t="s">
        <v>484</v>
      </c>
      <c r="G14" s="43" t="s">
        <v>535</v>
      </c>
      <c r="H14" s="43">
        <v>0</v>
      </c>
      <c r="I14" s="43" t="s">
        <v>499</v>
      </c>
      <c r="J14" s="43" t="s">
        <v>487</v>
      </c>
      <c r="K14" s="43" t="s">
        <v>519</v>
      </c>
      <c r="L14" s="43">
        <v>10</v>
      </c>
      <c r="M14" s="43" t="s">
        <v>536</v>
      </c>
      <c r="N14" s="43">
        <v>1445</v>
      </c>
      <c r="O14" s="43" t="s">
        <v>490</v>
      </c>
      <c r="P14" s="43">
        <v>33617374</v>
      </c>
      <c r="Q14" s="43">
        <v>212152370</v>
      </c>
      <c r="R14" s="43">
        <v>37.250349999999997</v>
      </c>
      <c r="S14" s="43">
        <v>-93.222530000000006</v>
      </c>
      <c r="T14" s="43" t="s">
        <v>491</v>
      </c>
      <c r="U14" s="43">
        <v>2</v>
      </c>
      <c r="V14" s="43"/>
      <c r="W14" s="43" t="s">
        <v>492</v>
      </c>
      <c r="X14" s="43" t="s">
        <v>493</v>
      </c>
      <c r="Y14" s="43" t="s">
        <v>494</v>
      </c>
      <c r="Z14" s="442" t="s">
        <v>537</v>
      </c>
    </row>
    <row r="15" spans="1:26" ht="15.75">
      <c r="A15" s="440" t="s">
        <v>481</v>
      </c>
      <c r="B15" s="43" t="s">
        <v>482</v>
      </c>
      <c r="C15" s="43">
        <v>80.162999999999997</v>
      </c>
      <c r="D15" s="43" t="s">
        <v>531</v>
      </c>
      <c r="E15" s="441">
        <v>43376</v>
      </c>
      <c r="F15" s="43" t="s">
        <v>497</v>
      </c>
      <c r="G15" s="43" t="s">
        <v>538</v>
      </c>
      <c r="H15" s="43">
        <v>0</v>
      </c>
      <c r="I15" s="43" t="s">
        <v>499</v>
      </c>
      <c r="J15" s="43" t="s">
        <v>487</v>
      </c>
      <c r="K15" s="43" t="s">
        <v>488</v>
      </c>
      <c r="L15" s="43">
        <v>9</v>
      </c>
      <c r="M15" s="43" t="s">
        <v>500</v>
      </c>
      <c r="N15" s="43">
        <v>1824</v>
      </c>
      <c r="O15" s="43" t="s">
        <v>490</v>
      </c>
      <c r="P15" s="43">
        <v>12508810</v>
      </c>
      <c r="Q15" s="43">
        <v>181353106</v>
      </c>
      <c r="R15" s="43">
        <v>37.250190000000003</v>
      </c>
      <c r="S15" s="43">
        <v>-93.266229999999993</v>
      </c>
      <c r="T15" s="43" t="s">
        <v>491</v>
      </c>
      <c r="U15" s="43">
        <v>2</v>
      </c>
      <c r="V15" s="43"/>
      <c r="W15" s="43" t="s">
        <v>492</v>
      </c>
      <c r="X15" s="43" t="s">
        <v>493</v>
      </c>
      <c r="Y15" s="43" t="s">
        <v>539</v>
      </c>
      <c r="Z15" s="442" t="s">
        <v>540</v>
      </c>
    </row>
    <row r="16" spans="1:26" ht="15.75">
      <c r="A16" s="440" t="s">
        <v>481</v>
      </c>
      <c r="B16" s="43" t="s">
        <v>482</v>
      </c>
      <c r="C16" s="43">
        <v>74.174000000000007</v>
      </c>
      <c r="D16" s="43" t="s">
        <v>483</v>
      </c>
      <c r="E16" s="441">
        <v>43409</v>
      </c>
      <c r="F16" s="43" t="s">
        <v>497</v>
      </c>
      <c r="G16" s="43" t="s">
        <v>541</v>
      </c>
      <c r="H16" s="43">
        <v>0</v>
      </c>
      <c r="I16" s="43" t="s">
        <v>499</v>
      </c>
      <c r="J16" s="43" t="s">
        <v>542</v>
      </c>
      <c r="K16" s="43" t="s">
        <v>519</v>
      </c>
      <c r="L16" s="43">
        <v>9</v>
      </c>
      <c r="M16" s="43" t="s">
        <v>528</v>
      </c>
      <c r="N16" s="43">
        <v>753</v>
      </c>
      <c r="O16" s="43" t="s">
        <v>490</v>
      </c>
      <c r="P16" s="43">
        <v>11216231</v>
      </c>
      <c r="Q16" s="43">
        <v>179396091</v>
      </c>
      <c r="R16" s="43">
        <v>37.231059999999999</v>
      </c>
      <c r="S16" s="43">
        <v>-93.364609999999999</v>
      </c>
      <c r="T16" s="43" t="s">
        <v>491</v>
      </c>
      <c r="U16" s="43">
        <v>2</v>
      </c>
      <c r="V16" s="43"/>
      <c r="W16" s="43" t="s">
        <v>492</v>
      </c>
      <c r="X16" s="43" t="s">
        <v>493</v>
      </c>
      <c r="Y16" s="43" t="s">
        <v>543</v>
      </c>
      <c r="Z16" s="442" t="s">
        <v>544</v>
      </c>
    </row>
    <row r="17" spans="1:26" ht="15.75">
      <c r="A17" s="440" t="s">
        <v>481</v>
      </c>
      <c r="B17" s="43" t="s">
        <v>507</v>
      </c>
      <c r="C17" s="43">
        <v>215.166</v>
      </c>
      <c r="D17" s="43" t="s">
        <v>483</v>
      </c>
      <c r="E17" s="441">
        <v>43448</v>
      </c>
      <c r="F17" s="43" t="s">
        <v>484</v>
      </c>
      <c r="G17" s="43" t="s">
        <v>545</v>
      </c>
      <c r="H17" s="43">
        <v>0</v>
      </c>
      <c r="I17" s="43" t="s">
        <v>486</v>
      </c>
      <c r="J17" s="43" t="s">
        <v>542</v>
      </c>
      <c r="K17" s="43" t="s">
        <v>546</v>
      </c>
      <c r="L17" s="43">
        <v>10</v>
      </c>
      <c r="M17" s="43" t="s">
        <v>536</v>
      </c>
      <c r="N17" s="43">
        <v>1723</v>
      </c>
      <c r="O17" s="43" t="s">
        <v>490</v>
      </c>
      <c r="P17" s="43">
        <v>33617968</v>
      </c>
      <c r="Q17" s="43">
        <v>212154258</v>
      </c>
      <c r="R17" s="43">
        <v>37.25038</v>
      </c>
      <c r="S17" s="43">
        <v>-93.305639999999997</v>
      </c>
      <c r="T17" s="43" t="s">
        <v>491</v>
      </c>
      <c r="U17" s="43">
        <v>5</v>
      </c>
      <c r="V17" s="43"/>
      <c r="W17" s="43" t="s">
        <v>492</v>
      </c>
      <c r="X17" s="43" t="s">
        <v>493</v>
      </c>
      <c r="Y17" s="43" t="s">
        <v>547</v>
      </c>
      <c r="Z17" s="442" t="s">
        <v>548</v>
      </c>
    </row>
    <row r="18" spans="1:26" ht="15.75">
      <c r="A18" s="440" t="s">
        <v>481</v>
      </c>
      <c r="B18" s="43" t="s">
        <v>507</v>
      </c>
      <c r="C18" s="43">
        <v>218.196</v>
      </c>
      <c r="D18" s="43" t="s">
        <v>483</v>
      </c>
      <c r="E18" s="441">
        <v>43484</v>
      </c>
      <c r="F18" s="43" t="s">
        <v>484</v>
      </c>
      <c r="G18" s="43" t="s">
        <v>549</v>
      </c>
      <c r="H18" s="43">
        <v>0</v>
      </c>
      <c r="I18" s="43" t="s">
        <v>499</v>
      </c>
      <c r="J18" s="43" t="s">
        <v>550</v>
      </c>
      <c r="K18" s="43" t="s">
        <v>546</v>
      </c>
      <c r="L18" s="43">
        <v>10</v>
      </c>
      <c r="M18" s="43" t="s">
        <v>551</v>
      </c>
      <c r="N18" s="43">
        <v>918</v>
      </c>
      <c r="O18" s="43" t="s">
        <v>490</v>
      </c>
      <c r="P18" s="43">
        <v>33624619</v>
      </c>
      <c r="Q18" s="43">
        <v>212171422</v>
      </c>
      <c r="R18" s="43">
        <v>37.239849999999997</v>
      </c>
      <c r="S18" s="43">
        <v>-93.35521</v>
      </c>
      <c r="T18" s="43" t="s">
        <v>491</v>
      </c>
      <c r="U18" s="43">
        <v>3</v>
      </c>
      <c r="V18" s="43"/>
      <c r="W18" s="43" t="s">
        <v>492</v>
      </c>
      <c r="X18" s="43" t="s">
        <v>493</v>
      </c>
      <c r="Y18" s="43" t="s">
        <v>552</v>
      </c>
      <c r="Z18" s="442" t="s">
        <v>553</v>
      </c>
    </row>
    <row r="19" spans="1:26" ht="15.75">
      <c r="A19" s="440" t="s">
        <v>481</v>
      </c>
      <c r="B19" s="43" t="s">
        <v>482</v>
      </c>
      <c r="C19" s="43">
        <v>80.418999999999997</v>
      </c>
      <c r="D19" s="43" t="s">
        <v>483</v>
      </c>
      <c r="E19" s="441">
        <v>43529</v>
      </c>
      <c r="F19" s="43" t="s">
        <v>497</v>
      </c>
      <c r="G19" s="43" t="s">
        <v>554</v>
      </c>
      <c r="H19" s="43">
        <v>0</v>
      </c>
      <c r="I19" s="43" t="s">
        <v>499</v>
      </c>
      <c r="J19" s="43" t="s">
        <v>487</v>
      </c>
      <c r="K19" s="43" t="s">
        <v>488</v>
      </c>
      <c r="L19" s="43">
        <v>9</v>
      </c>
      <c r="M19" s="43" t="s">
        <v>509</v>
      </c>
      <c r="N19" s="43">
        <v>700</v>
      </c>
      <c r="O19" s="43" t="s">
        <v>490</v>
      </c>
      <c r="P19" s="43">
        <v>14434526</v>
      </c>
      <c r="Q19" s="43">
        <v>184031684</v>
      </c>
      <c r="R19" s="43">
        <v>37.250169999999997</v>
      </c>
      <c r="S19" s="43">
        <v>-93.261570000000006</v>
      </c>
      <c r="T19" s="43" t="s">
        <v>491</v>
      </c>
      <c r="U19" s="43">
        <v>2</v>
      </c>
      <c r="V19" s="43"/>
      <c r="W19" s="43" t="s">
        <v>492</v>
      </c>
      <c r="X19" s="43" t="s">
        <v>493</v>
      </c>
      <c r="Y19" s="43" t="s">
        <v>533</v>
      </c>
      <c r="Z19" s="442" t="s">
        <v>555</v>
      </c>
    </row>
    <row r="20" spans="1:26" ht="15.75">
      <c r="A20" s="440" t="s">
        <v>481</v>
      </c>
      <c r="B20" s="43" t="s">
        <v>482</v>
      </c>
      <c r="C20" s="43">
        <v>81.238</v>
      </c>
      <c r="D20" s="43" t="s">
        <v>483</v>
      </c>
      <c r="E20" s="441">
        <v>43551</v>
      </c>
      <c r="F20" s="43" t="s">
        <v>484</v>
      </c>
      <c r="G20" s="43" t="s">
        <v>556</v>
      </c>
      <c r="H20" s="43">
        <v>0</v>
      </c>
      <c r="I20" s="43" t="s">
        <v>499</v>
      </c>
      <c r="J20" s="43" t="s">
        <v>487</v>
      </c>
      <c r="K20" s="43" t="s">
        <v>488</v>
      </c>
      <c r="L20" s="43">
        <v>9</v>
      </c>
      <c r="M20" s="43" t="s">
        <v>500</v>
      </c>
      <c r="N20" s="43">
        <v>808</v>
      </c>
      <c r="O20" s="43" t="s">
        <v>490</v>
      </c>
      <c r="P20" s="43">
        <v>14453156</v>
      </c>
      <c r="Q20" s="43">
        <v>184068187</v>
      </c>
      <c r="R20" s="43">
        <v>37.250160000000001</v>
      </c>
      <c r="S20" s="43">
        <v>-93.246719999999996</v>
      </c>
      <c r="T20" s="43" t="s">
        <v>491</v>
      </c>
      <c r="U20" s="43">
        <v>2</v>
      </c>
      <c r="V20" s="43"/>
      <c r="W20" s="43" t="s">
        <v>492</v>
      </c>
      <c r="X20" s="43" t="s">
        <v>493</v>
      </c>
      <c r="Y20" s="43" t="s">
        <v>557</v>
      </c>
      <c r="Z20" s="442" t="s">
        <v>558</v>
      </c>
    </row>
    <row r="21" spans="1:26" ht="15.75">
      <c r="A21" s="440" t="s">
        <v>481</v>
      </c>
      <c r="B21" s="43" t="s">
        <v>507</v>
      </c>
      <c r="C21" s="43">
        <v>215.19900000000001</v>
      </c>
      <c r="D21" s="43" t="s">
        <v>483</v>
      </c>
      <c r="E21" s="441">
        <v>43561</v>
      </c>
      <c r="F21" s="43" t="s">
        <v>497</v>
      </c>
      <c r="G21" s="43" t="s">
        <v>559</v>
      </c>
      <c r="H21" s="43">
        <v>0</v>
      </c>
      <c r="I21" s="43" t="s">
        <v>499</v>
      </c>
      <c r="J21" s="43" t="s">
        <v>487</v>
      </c>
      <c r="K21" s="43" t="s">
        <v>488</v>
      </c>
      <c r="L21" s="43">
        <v>10</v>
      </c>
      <c r="M21" s="43" t="s">
        <v>551</v>
      </c>
      <c r="N21" s="43">
        <v>946</v>
      </c>
      <c r="O21" s="43" t="s">
        <v>490</v>
      </c>
      <c r="P21" s="43">
        <v>33625981</v>
      </c>
      <c r="Q21" s="43">
        <v>212175601</v>
      </c>
      <c r="R21" s="43">
        <v>37.25038</v>
      </c>
      <c r="S21" s="43">
        <v>-93.306229999999999</v>
      </c>
      <c r="T21" s="43" t="s">
        <v>491</v>
      </c>
      <c r="U21" s="43">
        <v>3</v>
      </c>
      <c r="V21" s="43"/>
      <c r="W21" s="43" t="s">
        <v>492</v>
      </c>
      <c r="X21" s="43" t="s">
        <v>493</v>
      </c>
      <c r="Y21" s="43" t="s">
        <v>516</v>
      </c>
      <c r="Z21" s="442" t="s">
        <v>560</v>
      </c>
    </row>
    <row r="22" spans="1:26" ht="15.75">
      <c r="A22" s="440" t="s">
        <v>481</v>
      </c>
      <c r="B22" s="43" t="s">
        <v>507</v>
      </c>
      <c r="C22" s="43">
        <v>213.941</v>
      </c>
      <c r="D22" s="43" t="s">
        <v>483</v>
      </c>
      <c r="E22" s="441">
        <v>43561</v>
      </c>
      <c r="F22" s="43" t="s">
        <v>497</v>
      </c>
      <c r="G22" s="43" t="s">
        <v>561</v>
      </c>
      <c r="H22" s="43">
        <v>0</v>
      </c>
      <c r="I22" s="43" t="s">
        <v>499</v>
      </c>
      <c r="J22" s="43" t="s">
        <v>487</v>
      </c>
      <c r="K22" s="43" t="s">
        <v>488</v>
      </c>
      <c r="L22" s="43">
        <v>10</v>
      </c>
      <c r="M22" s="43" t="s">
        <v>551</v>
      </c>
      <c r="N22" s="43">
        <v>1025</v>
      </c>
      <c r="O22" s="43" t="s">
        <v>490</v>
      </c>
      <c r="P22" s="43">
        <v>33625990</v>
      </c>
      <c r="Q22" s="43">
        <v>212175627</v>
      </c>
      <c r="R22" s="43">
        <v>37.250369999999997</v>
      </c>
      <c r="S22" s="43">
        <v>-93.2834</v>
      </c>
      <c r="T22" s="43" t="s">
        <v>491</v>
      </c>
      <c r="U22" s="43">
        <v>2</v>
      </c>
      <c r="V22" s="43"/>
      <c r="W22" s="43" t="s">
        <v>492</v>
      </c>
      <c r="X22" s="43" t="s">
        <v>493</v>
      </c>
      <c r="Y22" s="43" t="s">
        <v>525</v>
      </c>
      <c r="Z22" s="442" t="s">
        <v>562</v>
      </c>
    </row>
    <row r="23" spans="1:26" ht="15.75">
      <c r="A23" s="440" t="s">
        <v>481</v>
      </c>
      <c r="B23" s="43" t="s">
        <v>507</v>
      </c>
      <c r="C23" s="43">
        <v>218.08199999999999</v>
      </c>
      <c r="D23" s="43" t="s">
        <v>531</v>
      </c>
      <c r="E23" s="441">
        <v>43622</v>
      </c>
      <c r="F23" s="43" t="s">
        <v>497</v>
      </c>
      <c r="G23" s="43" t="s">
        <v>563</v>
      </c>
      <c r="H23" s="43">
        <v>0</v>
      </c>
      <c r="I23" s="43" t="s">
        <v>499</v>
      </c>
      <c r="J23" s="43" t="s">
        <v>487</v>
      </c>
      <c r="K23" s="43" t="s">
        <v>488</v>
      </c>
      <c r="L23" s="43">
        <v>10</v>
      </c>
      <c r="M23" s="43" t="s">
        <v>489</v>
      </c>
      <c r="N23" s="43">
        <v>1220</v>
      </c>
      <c r="O23" s="43" t="s">
        <v>490</v>
      </c>
      <c r="P23" s="43">
        <v>33627398</v>
      </c>
      <c r="Q23" s="43">
        <v>212180101</v>
      </c>
      <c r="R23" s="43">
        <v>37.24109</v>
      </c>
      <c r="S23" s="43">
        <v>-93.353840000000005</v>
      </c>
      <c r="T23" s="43" t="s">
        <v>491</v>
      </c>
      <c r="U23" s="43">
        <v>3</v>
      </c>
      <c r="V23" s="43"/>
      <c r="W23" s="43" t="s">
        <v>492</v>
      </c>
      <c r="X23" s="43" t="s">
        <v>493</v>
      </c>
      <c r="Y23" s="43" t="s">
        <v>564</v>
      </c>
      <c r="Z23" s="442" t="s">
        <v>565</v>
      </c>
    </row>
    <row r="24" spans="1:26" ht="15.75">
      <c r="A24" s="440" t="s">
        <v>481</v>
      </c>
      <c r="B24" s="43" t="s">
        <v>507</v>
      </c>
      <c r="C24" s="43">
        <v>214.94900000000001</v>
      </c>
      <c r="D24" s="43" t="s">
        <v>483</v>
      </c>
      <c r="E24" s="441">
        <v>43625</v>
      </c>
      <c r="F24" s="43" t="s">
        <v>484</v>
      </c>
      <c r="G24" s="43" t="s">
        <v>566</v>
      </c>
      <c r="H24" s="43">
        <v>0</v>
      </c>
      <c r="I24" s="43" t="s">
        <v>499</v>
      </c>
      <c r="J24" s="43" t="s">
        <v>487</v>
      </c>
      <c r="K24" s="43" t="s">
        <v>488</v>
      </c>
      <c r="L24" s="43">
        <v>10</v>
      </c>
      <c r="M24" s="43" t="s">
        <v>513</v>
      </c>
      <c r="N24" s="43">
        <v>1309</v>
      </c>
      <c r="O24" s="43" t="s">
        <v>490</v>
      </c>
      <c r="P24" s="43">
        <v>33627186</v>
      </c>
      <c r="Q24" s="43">
        <v>212179448</v>
      </c>
      <c r="R24" s="43">
        <v>37.250399999999999</v>
      </c>
      <c r="S24" s="43">
        <v>-93.301689999999994</v>
      </c>
      <c r="T24" s="43" t="s">
        <v>491</v>
      </c>
      <c r="U24" s="43">
        <v>2</v>
      </c>
      <c r="V24" s="43"/>
      <c r="W24" s="43" t="s">
        <v>492</v>
      </c>
      <c r="X24" s="43" t="s">
        <v>493</v>
      </c>
      <c r="Y24" s="43" t="s">
        <v>516</v>
      </c>
      <c r="Z24" s="442" t="s">
        <v>567</v>
      </c>
    </row>
    <row r="25" spans="1:26" ht="15.75">
      <c r="A25" s="440" t="s">
        <v>481</v>
      </c>
      <c r="B25" s="43" t="s">
        <v>507</v>
      </c>
      <c r="C25" s="43">
        <v>215.14599999999999</v>
      </c>
      <c r="D25" s="43" t="s">
        <v>483</v>
      </c>
      <c r="E25" s="441">
        <v>43632</v>
      </c>
      <c r="F25" s="43" t="s">
        <v>484</v>
      </c>
      <c r="G25" s="43" t="s">
        <v>568</v>
      </c>
      <c r="H25" s="43">
        <v>0</v>
      </c>
      <c r="I25" s="43" t="s">
        <v>499</v>
      </c>
      <c r="J25" s="43" t="s">
        <v>487</v>
      </c>
      <c r="K25" s="43" t="s">
        <v>488</v>
      </c>
      <c r="L25" s="43">
        <v>10</v>
      </c>
      <c r="M25" s="43" t="s">
        <v>513</v>
      </c>
      <c r="N25" s="43">
        <v>1029</v>
      </c>
      <c r="O25" s="43" t="s">
        <v>514</v>
      </c>
      <c r="P25" s="43">
        <v>33627325</v>
      </c>
      <c r="Q25" s="43">
        <v>212179857</v>
      </c>
      <c r="R25" s="43">
        <v>37.25038</v>
      </c>
      <c r="S25" s="43">
        <v>-93.305269999999993</v>
      </c>
      <c r="T25" s="43" t="s">
        <v>491</v>
      </c>
      <c r="U25" s="43">
        <v>4</v>
      </c>
      <c r="V25" s="43" t="s">
        <v>515</v>
      </c>
      <c r="W25" s="43" t="s">
        <v>492</v>
      </c>
      <c r="X25" s="43" t="s">
        <v>493</v>
      </c>
      <c r="Y25" s="43" t="s">
        <v>569</v>
      </c>
      <c r="Z25" s="442" t="s">
        <v>570</v>
      </c>
    </row>
    <row r="26" spans="1:26" ht="15.75">
      <c r="A26" s="440" t="s">
        <v>481</v>
      </c>
      <c r="B26" s="43" t="s">
        <v>507</v>
      </c>
      <c r="C26" s="43">
        <v>214.44900000000001</v>
      </c>
      <c r="D26" s="43" t="s">
        <v>483</v>
      </c>
      <c r="E26" s="441">
        <v>43667</v>
      </c>
      <c r="F26" s="43" t="s">
        <v>497</v>
      </c>
      <c r="G26" s="43" t="s">
        <v>571</v>
      </c>
      <c r="H26" s="43">
        <v>0</v>
      </c>
      <c r="I26" s="43" t="s">
        <v>499</v>
      </c>
      <c r="J26" s="43" t="s">
        <v>487</v>
      </c>
      <c r="K26" s="43" t="s">
        <v>488</v>
      </c>
      <c r="L26" s="43">
        <v>10</v>
      </c>
      <c r="M26" s="43" t="s">
        <v>513</v>
      </c>
      <c r="N26" s="43">
        <v>1303</v>
      </c>
      <c r="O26" s="43" t="s">
        <v>490</v>
      </c>
      <c r="P26" s="43">
        <v>33628248</v>
      </c>
      <c r="Q26" s="43">
        <v>212182792</v>
      </c>
      <c r="R26" s="43">
        <v>37.250430000000001</v>
      </c>
      <c r="S26" s="43">
        <v>-93.292609999999996</v>
      </c>
      <c r="T26" s="43" t="s">
        <v>491</v>
      </c>
      <c r="U26" s="43">
        <v>2</v>
      </c>
      <c r="V26" s="43"/>
      <c r="W26" s="43" t="s">
        <v>492</v>
      </c>
      <c r="X26" s="43" t="s">
        <v>493</v>
      </c>
      <c r="Y26" s="43" t="s">
        <v>516</v>
      </c>
      <c r="Z26" s="442" t="s">
        <v>572</v>
      </c>
    </row>
    <row r="27" spans="1:26" ht="15.75">
      <c r="A27" s="440" t="s">
        <v>481</v>
      </c>
      <c r="B27" s="43" t="s">
        <v>507</v>
      </c>
      <c r="C27" s="43">
        <v>215.148</v>
      </c>
      <c r="D27" s="43" t="s">
        <v>483</v>
      </c>
      <c r="E27" s="441">
        <v>43674</v>
      </c>
      <c r="F27" s="43" t="s">
        <v>484</v>
      </c>
      <c r="G27" s="43" t="s">
        <v>573</v>
      </c>
      <c r="H27" s="43">
        <v>0</v>
      </c>
      <c r="I27" s="43" t="s">
        <v>499</v>
      </c>
      <c r="J27" s="43" t="s">
        <v>487</v>
      </c>
      <c r="K27" s="43" t="s">
        <v>519</v>
      </c>
      <c r="L27" s="43">
        <v>10</v>
      </c>
      <c r="M27" s="43" t="s">
        <v>513</v>
      </c>
      <c r="N27" s="43">
        <v>1510</v>
      </c>
      <c r="O27" s="43" t="s">
        <v>490</v>
      </c>
      <c r="P27" s="43">
        <v>33628292</v>
      </c>
      <c r="Q27" s="43">
        <v>212182953</v>
      </c>
      <c r="R27" s="43">
        <v>37.25038</v>
      </c>
      <c r="S27" s="43">
        <v>-93.305300000000003</v>
      </c>
      <c r="T27" s="43" t="s">
        <v>491</v>
      </c>
      <c r="U27" s="43">
        <v>2</v>
      </c>
      <c r="V27" s="43"/>
      <c r="W27" s="43" t="s">
        <v>492</v>
      </c>
      <c r="X27" s="43" t="s">
        <v>493</v>
      </c>
      <c r="Y27" s="43" t="s">
        <v>569</v>
      </c>
      <c r="Z27" s="442" t="s">
        <v>574</v>
      </c>
    </row>
    <row r="28" spans="1:26" ht="15.75">
      <c r="A28" s="440" t="s">
        <v>481</v>
      </c>
      <c r="B28" s="43" t="s">
        <v>482</v>
      </c>
      <c r="C28" s="43">
        <v>81.262</v>
      </c>
      <c r="D28" s="43" t="s">
        <v>483</v>
      </c>
      <c r="E28" s="441">
        <v>43679</v>
      </c>
      <c r="F28" s="43" t="s">
        <v>484</v>
      </c>
      <c r="G28" s="43" t="s">
        <v>575</v>
      </c>
      <c r="H28" s="43">
        <v>0</v>
      </c>
      <c r="I28" s="43" t="s">
        <v>499</v>
      </c>
      <c r="J28" s="43" t="s">
        <v>487</v>
      </c>
      <c r="K28" s="43" t="s">
        <v>519</v>
      </c>
      <c r="L28" s="43">
        <v>9</v>
      </c>
      <c r="M28" s="43" t="s">
        <v>536</v>
      </c>
      <c r="N28" s="43">
        <v>1301</v>
      </c>
      <c r="O28" s="43" t="s">
        <v>490</v>
      </c>
      <c r="P28" s="43">
        <v>16179481</v>
      </c>
      <c r="Q28" s="43">
        <v>186656693</v>
      </c>
      <c r="R28" s="43">
        <v>37.250160000000001</v>
      </c>
      <c r="S28" s="43">
        <v>-93.246290000000002</v>
      </c>
      <c r="T28" s="43" t="s">
        <v>491</v>
      </c>
      <c r="U28" s="43">
        <v>2</v>
      </c>
      <c r="V28" s="43"/>
      <c r="W28" s="43" t="s">
        <v>492</v>
      </c>
      <c r="X28" s="43" t="s">
        <v>493</v>
      </c>
      <c r="Y28" s="43" t="s">
        <v>576</v>
      </c>
      <c r="Z28" s="442" t="s">
        <v>577</v>
      </c>
    </row>
    <row r="29" spans="1:26" ht="15.75">
      <c r="A29" s="440" t="s">
        <v>481</v>
      </c>
      <c r="B29" s="43" t="s">
        <v>507</v>
      </c>
      <c r="C29" s="43">
        <v>215.15700000000001</v>
      </c>
      <c r="D29" s="43" t="s">
        <v>483</v>
      </c>
      <c r="E29" s="441">
        <v>43681</v>
      </c>
      <c r="F29" s="43" t="s">
        <v>497</v>
      </c>
      <c r="G29" s="43" t="s">
        <v>578</v>
      </c>
      <c r="H29" s="43">
        <v>0</v>
      </c>
      <c r="I29" s="43" t="s">
        <v>499</v>
      </c>
      <c r="J29" s="43" t="s">
        <v>487</v>
      </c>
      <c r="K29" s="43" t="s">
        <v>488</v>
      </c>
      <c r="L29" s="43">
        <v>10</v>
      </c>
      <c r="M29" s="43" t="s">
        <v>513</v>
      </c>
      <c r="N29" s="43">
        <v>1054</v>
      </c>
      <c r="O29" s="43" t="s">
        <v>490</v>
      </c>
      <c r="P29" s="43">
        <v>33628329</v>
      </c>
      <c r="Q29" s="43">
        <v>212183079</v>
      </c>
      <c r="R29" s="43">
        <v>37.25038</v>
      </c>
      <c r="S29" s="43">
        <v>-93.30547</v>
      </c>
      <c r="T29" s="43" t="s">
        <v>491</v>
      </c>
      <c r="U29" s="43">
        <v>2</v>
      </c>
      <c r="V29" s="43"/>
      <c r="W29" s="43" t="s">
        <v>492</v>
      </c>
      <c r="X29" s="43" t="s">
        <v>493</v>
      </c>
      <c r="Y29" s="43" t="s">
        <v>569</v>
      </c>
      <c r="Z29" s="442" t="s">
        <v>579</v>
      </c>
    </row>
    <row r="30" spans="1:26" ht="15.75">
      <c r="A30" s="440" t="s">
        <v>481</v>
      </c>
      <c r="B30" s="43" t="s">
        <v>482</v>
      </c>
      <c r="C30" s="43">
        <v>74.97</v>
      </c>
      <c r="D30" s="43" t="s">
        <v>531</v>
      </c>
      <c r="E30" s="441">
        <v>43683</v>
      </c>
      <c r="F30" s="43" t="s">
        <v>497</v>
      </c>
      <c r="G30" s="43" t="s">
        <v>580</v>
      </c>
      <c r="H30" s="43">
        <v>0</v>
      </c>
      <c r="I30" s="43" t="s">
        <v>499</v>
      </c>
      <c r="J30" s="43" t="s">
        <v>542</v>
      </c>
      <c r="K30" s="43" t="s">
        <v>546</v>
      </c>
      <c r="L30" s="43">
        <v>9</v>
      </c>
      <c r="M30" s="43" t="s">
        <v>509</v>
      </c>
      <c r="N30" s="43">
        <v>1715</v>
      </c>
      <c r="O30" s="43" t="s">
        <v>490</v>
      </c>
      <c r="P30" s="43">
        <v>18451661</v>
      </c>
      <c r="Q30" s="43">
        <v>189105149</v>
      </c>
      <c r="R30" s="43">
        <v>37.239719999999998</v>
      </c>
      <c r="S30" s="43">
        <v>-93.355059999999995</v>
      </c>
      <c r="T30" s="43" t="s">
        <v>491</v>
      </c>
      <c r="U30" s="43">
        <v>2</v>
      </c>
      <c r="V30" s="43"/>
      <c r="W30" s="43" t="s">
        <v>492</v>
      </c>
      <c r="X30" s="43" t="s">
        <v>493</v>
      </c>
      <c r="Y30" s="43" t="s">
        <v>581</v>
      </c>
      <c r="Z30" s="442" t="s">
        <v>582</v>
      </c>
    </row>
    <row r="31" spans="1:26" ht="15.75">
      <c r="A31" s="440" t="s">
        <v>481</v>
      </c>
      <c r="B31" s="43" t="s">
        <v>482</v>
      </c>
      <c r="C31" s="43">
        <v>79.757999999999996</v>
      </c>
      <c r="D31" s="43" t="s">
        <v>483</v>
      </c>
      <c r="E31" s="441">
        <v>43713</v>
      </c>
      <c r="F31" s="43" t="s">
        <v>484</v>
      </c>
      <c r="G31" s="43" t="s">
        <v>583</v>
      </c>
      <c r="H31" s="43">
        <v>0</v>
      </c>
      <c r="I31" s="43" t="s">
        <v>499</v>
      </c>
      <c r="J31" s="43" t="s">
        <v>487</v>
      </c>
      <c r="K31" s="43" t="s">
        <v>488</v>
      </c>
      <c r="L31" s="43">
        <v>9</v>
      </c>
      <c r="M31" s="43" t="s">
        <v>489</v>
      </c>
      <c r="N31" s="43">
        <v>751</v>
      </c>
      <c r="O31" s="43" t="s">
        <v>490</v>
      </c>
      <c r="P31" s="43">
        <v>16324985</v>
      </c>
      <c r="Q31" s="43">
        <v>186955993</v>
      </c>
      <c r="R31" s="43">
        <v>37.250210000000003</v>
      </c>
      <c r="S31" s="43">
        <v>-93.273600000000002</v>
      </c>
      <c r="T31" s="43" t="s">
        <v>491</v>
      </c>
      <c r="U31" s="43">
        <v>2</v>
      </c>
      <c r="V31" s="43"/>
      <c r="W31" s="43" t="s">
        <v>492</v>
      </c>
      <c r="X31" s="43" t="s">
        <v>493</v>
      </c>
      <c r="Y31" s="43" t="s">
        <v>584</v>
      </c>
      <c r="Z31" s="442" t="s">
        <v>585</v>
      </c>
    </row>
    <row r="32" spans="1:26" ht="15.75">
      <c r="A32" s="440" t="s">
        <v>481</v>
      </c>
      <c r="B32" s="43" t="s">
        <v>507</v>
      </c>
      <c r="C32" s="43">
        <v>215.13499999999999</v>
      </c>
      <c r="D32" s="43" t="s">
        <v>483</v>
      </c>
      <c r="E32" s="441">
        <v>43758</v>
      </c>
      <c r="F32" s="43" t="s">
        <v>497</v>
      </c>
      <c r="G32" s="43" t="s">
        <v>586</v>
      </c>
      <c r="H32" s="43">
        <v>0</v>
      </c>
      <c r="I32" s="43" t="s">
        <v>499</v>
      </c>
      <c r="J32" s="43" t="s">
        <v>487</v>
      </c>
      <c r="K32" s="43" t="s">
        <v>488</v>
      </c>
      <c r="L32" s="43">
        <v>10</v>
      </c>
      <c r="M32" s="43" t="s">
        <v>513</v>
      </c>
      <c r="N32" s="43">
        <v>1125</v>
      </c>
      <c r="O32" s="43" t="s">
        <v>490</v>
      </c>
      <c r="P32" s="43">
        <v>33629831</v>
      </c>
      <c r="Q32" s="43">
        <v>212187705</v>
      </c>
      <c r="R32" s="43">
        <v>37.25038</v>
      </c>
      <c r="S32" s="43">
        <v>-93.305070000000001</v>
      </c>
      <c r="T32" s="43" t="s">
        <v>491</v>
      </c>
      <c r="U32" s="43">
        <v>3</v>
      </c>
      <c r="V32" s="43"/>
      <c r="W32" s="43" t="s">
        <v>492</v>
      </c>
      <c r="X32" s="43" t="s">
        <v>493</v>
      </c>
      <c r="Y32" s="43" t="s">
        <v>569</v>
      </c>
      <c r="Z32" s="442" t="s">
        <v>587</v>
      </c>
    </row>
    <row r="33" spans="1:26" ht="15.75">
      <c r="A33" s="440" t="s">
        <v>481</v>
      </c>
      <c r="B33" s="43" t="s">
        <v>507</v>
      </c>
      <c r="C33" s="43">
        <v>211.08099999999999</v>
      </c>
      <c r="D33" s="43" t="s">
        <v>483</v>
      </c>
      <c r="E33" s="441">
        <v>43811</v>
      </c>
      <c r="F33" s="43" t="s">
        <v>497</v>
      </c>
      <c r="G33" s="43" t="s">
        <v>588</v>
      </c>
      <c r="H33" s="43">
        <v>0</v>
      </c>
      <c r="I33" s="43" t="s">
        <v>589</v>
      </c>
      <c r="J33" s="43" t="s">
        <v>487</v>
      </c>
      <c r="K33" s="43" t="s">
        <v>488</v>
      </c>
      <c r="L33" s="43">
        <v>10</v>
      </c>
      <c r="M33" s="43" t="s">
        <v>489</v>
      </c>
      <c r="N33" s="43">
        <v>1721</v>
      </c>
      <c r="O33" s="43" t="s">
        <v>490</v>
      </c>
      <c r="P33" s="43">
        <v>33631695</v>
      </c>
      <c r="Q33" s="43">
        <v>212193378</v>
      </c>
      <c r="R33" s="43">
        <v>37.250340000000001</v>
      </c>
      <c r="S33" s="43">
        <v>-93.231470000000002</v>
      </c>
      <c r="T33" s="43" t="s">
        <v>491</v>
      </c>
      <c r="U33" s="43">
        <v>3</v>
      </c>
      <c r="V33" s="43"/>
      <c r="W33" s="43" t="s">
        <v>492</v>
      </c>
      <c r="X33" s="43" t="s">
        <v>493</v>
      </c>
      <c r="Y33" s="43" t="s">
        <v>494</v>
      </c>
      <c r="Z33" s="442" t="s">
        <v>590</v>
      </c>
    </row>
    <row r="34" spans="1:26" ht="15.75">
      <c r="A34" s="440" t="s">
        <v>481</v>
      </c>
      <c r="B34" s="43" t="s">
        <v>507</v>
      </c>
      <c r="C34" s="43">
        <v>215.13900000000001</v>
      </c>
      <c r="D34" s="43" t="s">
        <v>483</v>
      </c>
      <c r="E34" s="441">
        <v>43817</v>
      </c>
      <c r="F34" s="43" t="s">
        <v>497</v>
      </c>
      <c r="G34" s="43" t="s">
        <v>591</v>
      </c>
      <c r="H34" s="43">
        <v>0</v>
      </c>
      <c r="I34" s="43" t="s">
        <v>499</v>
      </c>
      <c r="J34" s="43" t="s">
        <v>487</v>
      </c>
      <c r="K34" s="43" t="s">
        <v>488</v>
      </c>
      <c r="L34" s="43">
        <v>10</v>
      </c>
      <c r="M34" s="43" t="s">
        <v>500</v>
      </c>
      <c r="N34" s="43">
        <v>1622</v>
      </c>
      <c r="O34" s="43" t="s">
        <v>490</v>
      </c>
      <c r="P34" s="43">
        <v>33631439</v>
      </c>
      <c r="Q34" s="43">
        <v>212192605</v>
      </c>
      <c r="R34" s="43">
        <v>37.25038</v>
      </c>
      <c r="S34" s="43">
        <v>-93.305139999999994</v>
      </c>
      <c r="T34" s="43" t="s">
        <v>491</v>
      </c>
      <c r="U34" s="43">
        <v>3</v>
      </c>
      <c r="V34" s="43"/>
      <c r="W34" s="43" t="s">
        <v>492</v>
      </c>
      <c r="X34" s="43" t="s">
        <v>493</v>
      </c>
      <c r="Y34" s="43" t="s">
        <v>569</v>
      </c>
      <c r="Z34" s="442" t="s">
        <v>592</v>
      </c>
    </row>
    <row r="35" spans="1:26" ht="15.75">
      <c r="A35" s="440" t="s">
        <v>481</v>
      </c>
      <c r="B35" s="43" t="s">
        <v>507</v>
      </c>
      <c r="C35" s="43">
        <v>218.39599999999999</v>
      </c>
      <c r="D35" s="43" t="s">
        <v>483</v>
      </c>
      <c r="E35" s="441">
        <v>43845</v>
      </c>
      <c r="F35" s="43" t="s">
        <v>593</v>
      </c>
      <c r="G35" s="43" t="s">
        <v>594</v>
      </c>
      <c r="H35" s="43">
        <v>0</v>
      </c>
      <c r="I35" s="43" t="s">
        <v>589</v>
      </c>
      <c r="J35" s="43" t="s">
        <v>487</v>
      </c>
      <c r="K35" s="43" t="s">
        <v>595</v>
      </c>
      <c r="L35" s="43">
        <v>10</v>
      </c>
      <c r="M35" s="43" t="s">
        <v>500</v>
      </c>
      <c r="N35" s="43">
        <v>1955</v>
      </c>
      <c r="O35" s="43" t="s">
        <v>514</v>
      </c>
      <c r="P35" s="43">
        <v>33637186</v>
      </c>
      <c r="Q35" s="43">
        <v>212207048</v>
      </c>
      <c r="R35" s="43">
        <v>37.237670000000001</v>
      </c>
      <c r="S35" s="43">
        <v>-93.357609999999994</v>
      </c>
      <c r="T35" s="43" t="s">
        <v>491</v>
      </c>
      <c r="U35" s="43">
        <v>3</v>
      </c>
      <c r="V35" s="43" t="s">
        <v>596</v>
      </c>
      <c r="W35" s="43" t="s">
        <v>492</v>
      </c>
      <c r="X35" s="43" t="s">
        <v>493</v>
      </c>
      <c r="Y35" s="43" t="s">
        <v>597</v>
      </c>
      <c r="Z35" s="442" t="s">
        <v>598</v>
      </c>
    </row>
    <row r="36" spans="1:26" ht="15.75">
      <c r="A36" s="440" t="s">
        <v>481</v>
      </c>
      <c r="B36" s="43" t="s">
        <v>507</v>
      </c>
      <c r="C36" s="43">
        <v>215.149</v>
      </c>
      <c r="D36" s="43" t="s">
        <v>483</v>
      </c>
      <c r="E36" s="441">
        <v>43976</v>
      </c>
      <c r="F36" s="43" t="s">
        <v>484</v>
      </c>
      <c r="G36" s="43" t="s">
        <v>599</v>
      </c>
      <c r="H36" s="43">
        <v>0</v>
      </c>
      <c r="I36" s="43" t="s">
        <v>499</v>
      </c>
      <c r="J36" s="43" t="s">
        <v>542</v>
      </c>
      <c r="K36" s="43" t="s">
        <v>519</v>
      </c>
      <c r="L36" s="43">
        <v>10</v>
      </c>
      <c r="M36" s="43" t="s">
        <v>528</v>
      </c>
      <c r="N36" s="43">
        <v>1402</v>
      </c>
      <c r="O36" s="43" t="s">
        <v>490</v>
      </c>
      <c r="P36" s="43">
        <v>33639262</v>
      </c>
      <c r="Q36" s="43">
        <v>212213351</v>
      </c>
      <c r="R36" s="43">
        <v>37.25038</v>
      </c>
      <c r="S36" s="43">
        <v>-93.305329999999998</v>
      </c>
      <c r="T36" s="43" t="s">
        <v>491</v>
      </c>
      <c r="U36" s="43">
        <v>2</v>
      </c>
      <c r="V36" s="43"/>
      <c r="W36" s="43" t="s">
        <v>492</v>
      </c>
      <c r="X36" s="43" t="s">
        <v>493</v>
      </c>
      <c r="Y36" s="43" t="s">
        <v>569</v>
      </c>
      <c r="Z36" s="442" t="s">
        <v>600</v>
      </c>
    </row>
    <row r="37" spans="1:26" ht="15.75">
      <c r="A37" s="440" t="s">
        <v>481</v>
      </c>
      <c r="B37" s="43" t="s">
        <v>507</v>
      </c>
      <c r="C37" s="43">
        <v>211.583</v>
      </c>
      <c r="D37" s="43" t="s">
        <v>483</v>
      </c>
      <c r="E37" s="441">
        <v>43979</v>
      </c>
      <c r="F37" s="43" t="s">
        <v>497</v>
      </c>
      <c r="G37" s="43" t="s">
        <v>601</v>
      </c>
      <c r="H37" s="43">
        <v>0</v>
      </c>
      <c r="I37" s="43" t="s">
        <v>499</v>
      </c>
      <c r="J37" s="43" t="s">
        <v>487</v>
      </c>
      <c r="K37" s="43" t="s">
        <v>519</v>
      </c>
      <c r="L37" s="43">
        <v>10</v>
      </c>
      <c r="M37" s="43" t="s">
        <v>489</v>
      </c>
      <c r="N37" s="43">
        <v>1411</v>
      </c>
      <c r="O37" s="43" t="s">
        <v>490</v>
      </c>
      <c r="P37" s="43">
        <v>33639333</v>
      </c>
      <c r="Q37" s="43">
        <v>212213587</v>
      </c>
      <c r="R37" s="43">
        <v>37.250340000000001</v>
      </c>
      <c r="S37" s="43">
        <v>-93.240589999999997</v>
      </c>
      <c r="T37" s="43" t="s">
        <v>491</v>
      </c>
      <c r="U37" s="43">
        <v>2</v>
      </c>
      <c r="V37" s="43"/>
      <c r="W37" s="43" t="s">
        <v>492</v>
      </c>
      <c r="X37" s="43" t="s">
        <v>493</v>
      </c>
      <c r="Y37" s="43" t="s">
        <v>602</v>
      </c>
      <c r="Z37" s="442" t="s">
        <v>603</v>
      </c>
    </row>
    <row r="38" spans="1:26" ht="15.75">
      <c r="A38" s="440" t="s">
        <v>481</v>
      </c>
      <c r="B38" s="43" t="s">
        <v>507</v>
      </c>
      <c r="C38" s="43">
        <v>212.7</v>
      </c>
      <c r="D38" s="43" t="s">
        <v>483</v>
      </c>
      <c r="E38" s="441">
        <v>43987</v>
      </c>
      <c r="F38" s="43" t="s">
        <v>484</v>
      </c>
      <c r="G38" s="43" t="s">
        <v>604</v>
      </c>
      <c r="H38" s="43">
        <v>0</v>
      </c>
      <c r="I38" s="43" t="s">
        <v>499</v>
      </c>
      <c r="J38" s="43" t="s">
        <v>487</v>
      </c>
      <c r="K38" s="43" t="s">
        <v>488</v>
      </c>
      <c r="L38" s="43">
        <v>10</v>
      </c>
      <c r="M38" s="43" t="s">
        <v>536</v>
      </c>
      <c r="N38" s="43">
        <v>1521</v>
      </c>
      <c r="O38" s="43" t="s">
        <v>514</v>
      </c>
      <c r="P38" s="43">
        <v>33639511</v>
      </c>
      <c r="Q38" s="43">
        <v>212214114</v>
      </c>
      <c r="R38" s="43">
        <v>37.250349999999997</v>
      </c>
      <c r="S38" s="43">
        <v>-93.260869999999997</v>
      </c>
      <c r="T38" s="43" t="s">
        <v>491</v>
      </c>
      <c r="U38" s="43">
        <v>2</v>
      </c>
      <c r="V38" s="43" t="s">
        <v>515</v>
      </c>
      <c r="W38" s="43" t="s">
        <v>492</v>
      </c>
      <c r="X38" s="43" t="s">
        <v>493</v>
      </c>
      <c r="Y38" s="43" t="s">
        <v>605</v>
      </c>
      <c r="Z38" s="442" t="s">
        <v>606</v>
      </c>
    </row>
    <row r="39" spans="1:26" ht="15.75">
      <c r="A39" s="440" t="s">
        <v>481</v>
      </c>
      <c r="B39" s="43" t="s">
        <v>507</v>
      </c>
      <c r="C39" s="43">
        <v>212.56399999999999</v>
      </c>
      <c r="D39" s="43" t="s">
        <v>483</v>
      </c>
      <c r="E39" s="441">
        <v>43998</v>
      </c>
      <c r="F39" s="43" t="s">
        <v>484</v>
      </c>
      <c r="G39" s="43" t="s">
        <v>607</v>
      </c>
      <c r="H39" s="43">
        <v>0</v>
      </c>
      <c r="I39" s="43" t="s">
        <v>499</v>
      </c>
      <c r="J39" s="43" t="s">
        <v>487</v>
      </c>
      <c r="K39" s="43" t="s">
        <v>488</v>
      </c>
      <c r="L39" s="43">
        <v>10</v>
      </c>
      <c r="M39" s="43" t="s">
        <v>509</v>
      </c>
      <c r="N39" s="43">
        <v>641</v>
      </c>
      <c r="O39" s="43" t="s">
        <v>490</v>
      </c>
      <c r="P39" s="43">
        <v>33639599</v>
      </c>
      <c r="Q39" s="43">
        <v>212214394</v>
      </c>
      <c r="R39" s="43">
        <v>37.250349999999997</v>
      </c>
      <c r="S39" s="43">
        <v>-93.258399999999995</v>
      </c>
      <c r="T39" s="43" t="s">
        <v>491</v>
      </c>
      <c r="U39" s="43">
        <v>3</v>
      </c>
      <c r="V39" s="43"/>
      <c r="W39" s="43" t="s">
        <v>492</v>
      </c>
      <c r="X39" s="43" t="s">
        <v>493</v>
      </c>
      <c r="Y39" s="43" t="s">
        <v>608</v>
      </c>
      <c r="Z39" s="442" t="s">
        <v>609</v>
      </c>
    </row>
    <row r="40" spans="1:26" ht="15.75">
      <c r="A40" s="440" t="s">
        <v>481</v>
      </c>
      <c r="B40" s="43" t="s">
        <v>507</v>
      </c>
      <c r="C40" s="43">
        <v>215.92599999999999</v>
      </c>
      <c r="D40" s="43" t="s">
        <v>483</v>
      </c>
      <c r="E40" s="441">
        <v>43999</v>
      </c>
      <c r="F40" s="43" t="s">
        <v>497</v>
      </c>
      <c r="G40" s="43" t="s">
        <v>610</v>
      </c>
      <c r="H40" s="43">
        <v>0</v>
      </c>
      <c r="I40" s="43" t="s">
        <v>499</v>
      </c>
      <c r="J40" s="43" t="s">
        <v>487</v>
      </c>
      <c r="K40" s="43" t="s">
        <v>488</v>
      </c>
      <c r="L40" s="43">
        <v>10</v>
      </c>
      <c r="M40" s="43" t="s">
        <v>500</v>
      </c>
      <c r="N40" s="43">
        <v>1741</v>
      </c>
      <c r="O40" s="43" t="s">
        <v>490</v>
      </c>
      <c r="P40" s="43">
        <v>33639615</v>
      </c>
      <c r="Q40" s="43">
        <v>212214444</v>
      </c>
      <c r="R40" s="43">
        <v>37.25038</v>
      </c>
      <c r="S40" s="43">
        <v>-93.319419999999994</v>
      </c>
      <c r="T40" s="43" t="s">
        <v>491</v>
      </c>
      <c r="U40" s="43">
        <v>2</v>
      </c>
      <c r="V40" s="43"/>
      <c r="W40" s="43" t="s">
        <v>492</v>
      </c>
      <c r="X40" s="43" t="s">
        <v>493</v>
      </c>
      <c r="Y40" s="43" t="s">
        <v>611</v>
      </c>
      <c r="Z40" s="442" t="s">
        <v>612</v>
      </c>
    </row>
    <row r="41" spans="1:26" ht="15.75">
      <c r="A41" s="440" t="s">
        <v>481</v>
      </c>
      <c r="B41" s="43" t="s">
        <v>507</v>
      </c>
      <c r="C41" s="43">
        <v>215.143</v>
      </c>
      <c r="D41" s="43" t="s">
        <v>483</v>
      </c>
      <c r="E41" s="441">
        <v>43999</v>
      </c>
      <c r="F41" s="43" t="s">
        <v>593</v>
      </c>
      <c r="G41" s="43" t="s">
        <v>613</v>
      </c>
      <c r="H41" s="43">
        <v>0</v>
      </c>
      <c r="I41" s="43" t="s">
        <v>499</v>
      </c>
      <c r="J41" s="43" t="s">
        <v>487</v>
      </c>
      <c r="K41" s="43" t="s">
        <v>488</v>
      </c>
      <c r="L41" s="43">
        <v>10</v>
      </c>
      <c r="M41" s="43" t="s">
        <v>500</v>
      </c>
      <c r="N41" s="43">
        <v>1758</v>
      </c>
      <c r="O41" s="43" t="s">
        <v>490</v>
      </c>
      <c r="P41" s="43">
        <v>33639647</v>
      </c>
      <c r="Q41" s="43">
        <v>212214538</v>
      </c>
      <c r="R41" s="43">
        <v>37.25038</v>
      </c>
      <c r="S41" s="43">
        <v>-93.305210000000002</v>
      </c>
      <c r="T41" s="43" t="s">
        <v>491</v>
      </c>
      <c r="U41" s="43">
        <v>3</v>
      </c>
      <c r="V41" s="43"/>
      <c r="W41" s="43" t="s">
        <v>492</v>
      </c>
      <c r="X41" s="43" t="s">
        <v>493</v>
      </c>
      <c r="Y41" s="43" t="s">
        <v>516</v>
      </c>
      <c r="Z41" s="442" t="s">
        <v>614</v>
      </c>
    </row>
    <row r="42" spans="1:26" ht="15.75">
      <c r="A42" s="440" t="s">
        <v>481</v>
      </c>
      <c r="B42" s="43" t="s">
        <v>507</v>
      </c>
      <c r="C42" s="43">
        <v>212.71</v>
      </c>
      <c r="D42" s="43" t="s">
        <v>483</v>
      </c>
      <c r="E42" s="441">
        <v>44001</v>
      </c>
      <c r="F42" s="43" t="s">
        <v>615</v>
      </c>
      <c r="G42" s="43" t="s">
        <v>616</v>
      </c>
      <c r="H42" s="43">
        <v>0</v>
      </c>
      <c r="I42" s="43" t="s">
        <v>499</v>
      </c>
      <c r="J42" s="43" t="s">
        <v>542</v>
      </c>
      <c r="K42" s="43" t="s">
        <v>519</v>
      </c>
      <c r="L42" s="43">
        <v>10</v>
      </c>
      <c r="M42" s="43" t="s">
        <v>536</v>
      </c>
      <c r="N42" s="43">
        <v>1822</v>
      </c>
      <c r="O42" s="43" t="s">
        <v>490</v>
      </c>
      <c r="P42" s="43">
        <v>33639838</v>
      </c>
      <c r="Q42" s="43">
        <v>212215097</v>
      </c>
      <c r="R42" s="43">
        <v>37.250349999999997</v>
      </c>
      <c r="S42" s="43">
        <v>-93.261049999999997</v>
      </c>
      <c r="T42" s="43" t="s">
        <v>491</v>
      </c>
      <c r="U42" s="43">
        <v>2</v>
      </c>
      <c r="V42" s="43"/>
      <c r="W42" s="43" t="s">
        <v>492</v>
      </c>
      <c r="X42" s="43" t="s">
        <v>493</v>
      </c>
      <c r="Y42" s="43" t="s">
        <v>529</v>
      </c>
      <c r="Z42" s="442" t="s">
        <v>617</v>
      </c>
    </row>
    <row r="43" spans="1:26" ht="15.75">
      <c r="A43" s="440" t="s">
        <v>481</v>
      </c>
      <c r="B43" s="43" t="s">
        <v>507</v>
      </c>
      <c r="C43" s="43">
        <v>214.494</v>
      </c>
      <c r="D43" s="43" t="s">
        <v>483</v>
      </c>
      <c r="E43" s="441">
        <v>44049</v>
      </c>
      <c r="F43" s="43" t="s">
        <v>497</v>
      </c>
      <c r="G43" s="43" t="s">
        <v>618</v>
      </c>
      <c r="H43" s="43">
        <v>0</v>
      </c>
      <c r="I43" s="43" t="s">
        <v>499</v>
      </c>
      <c r="J43" s="43" t="s">
        <v>487</v>
      </c>
      <c r="K43" s="43" t="s">
        <v>488</v>
      </c>
      <c r="L43" s="43">
        <v>10</v>
      </c>
      <c r="M43" s="43" t="s">
        <v>489</v>
      </c>
      <c r="N43" s="43">
        <v>1728</v>
      </c>
      <c r="O43" s="43" t="s">
        <v>514</v>
      </c>
      <c r="P43" s="43">
        <v>33640646</v>
      </c>
      <c r="Q43" s="43">
        <v>212217538</v>
      </c>
      <c r="R43" s="43">
        <v>37.250410000000002</v>
      </c>
      <c r="S43" s="43">
        <v>-93.293430000000001</v>
      </c>
      <c r="T43" s="43" t="s">
        <v>491</v>
      </c>
      <c r="U43" s="43">
        <v>2</v>
      </c>
      <c r="V43" s="43" t="s">
        <v>596</v>
      </c>
      <c r="W43" s="43" t="s">
        <v>492</v>
      </c>
      <c r="X43" s="43" t="s">
        <v>493</v>
      </c>
      <c r="Y43" s="43" t="s">
        <v>619</v>
      </c>
      <c r="Z43" s="442" t="s">
        <v>620</v>
      </c>
    </row>
    <row r="44" spans="1:26" ht="15.75">
      <c r="A44" s="440" t="s">
        <v>481</v>
      </c>
      <c r="B44" s="43" t="s">
        <v>507</v>
      </c>
      <c r="C44" s="43">
        <v>214.572</v>
      </c>
      <c r="D44" s="43" t="s">
        <v>531</v>
      </c>
      <c r="E44" s="441">
        <v>44074</v>
      </c>
      <c r="F44" s="43" t="s">
        <v>593</v>
      </c>
      <c r="G44" s="43" t="s">
        <v>621</v>
      </c>
      <c r="H44" s="43">
        <v>0</v>
      </c>
      <c r="I44" s="43" t="s">
        <v>499</v>
      </c>
      <c r="J44" s="43" t="s">
        <v>542</v>
      </c>
      <c r="K44" s="43" t="s">
        <v>546</v>
      </c>
      <c r="L44" s="43">
        <v>10</v>
      </c>
      <c r="M44" s="43" t="s">
        <v>528</v>
      </c>
      <c r="N44" s="43">
        <v>1329</v>
      </c>
      <c r="O44" s="43" t="s">
        <v>490</v>
      </c>
      <c r="P44" s="43">
        <v>33641113</v>
      </c>
      <c r="Q44" s="43">
        <v>212218912</v>
      </c>
      <c r="R44" s="43">
        <v>37.250390000000003</v>
      </c>
      <c r="S44" s="43">
        <v>-93.294849999999997</v>
      </c>
      <c r="T44" s="43" t="s">
        <v>491</v>
      </c>
      <c r="U44" s="43">
        <v>3</v>
      </c>
      <c r="V44" s="43"/>
      <c r="W44" s="43" t="s">
        <v>492</v>
      </c>
      <c r="X44" s="43" t="s">
        <v>493</v>
      </c>
      <c r="Y44" s="43" t="s">
        <v>622</v>
      </c>
      <c r="Z44" s="442" t="s">
        <v>623</v>
      </c>
    </row>
    <row r="45" spans="1:26" ht="15.75">
      <c r="A45" s="440" t="s">
        <v>481</v>
      </c>
      <c r="B45" s="43" t="s">
        <v>507</v>
      </c>
      <c r="C45" s="43">
        <v>215.298</v>
      </c>
      <c r="D45" s="43" t="s">
        <v>483</v>
      </c>
      <c r="E45" s="441">
        <v>44123</v>
      </c>
      <c r="F45" s="43" t="s">
        <v>497</v>
      </c>
      <c r="G45" s="43" t="s">
        <v>624</v>
      </c>
      <c r="H45" s="43">
        <v>0</v>
      </c>
      <c r="I45" s="43" t="s">
        <v>499</v>
      </c>
      <c r="J45" s="43" t="s">
        <v>542</v>
      </c>
      <c r="K45" s="43" t="s">
        <v>519</v>
      </c>
      <c r="L45" s="43">
        <v>10</v>
      </c>
      <c r="M45" s="43" t="s">
        <v>528</v>
      </c>
      <c r="N45" s="43">
        <v>1744</v>
      </c>
      <c r="O45" s="43" t="s">
        <v>490</v>
      </c>
      <c r="P45" s="43">
        <v>33642352</v>
      </c>
      <c r="Q45" s="43">
        <v>212222668</v>
      </c>
      <c r="R45" s="43">
        <v>37.250390000000003</v>
      </c>
      <c r="S45" s="43">
        <v>-93.308030000000002</v>
      </c>
      <c r="T45" s="43" t="s">
        <v>491</v>
      </c>
      <c r="U45" s="43">
        <v>4</v>
      </c>
      <c r="V45" s="43"/>
      <c r="W45" s="43" t="s">
        <v>492</v>
      </c>
      <c r="X45" s="43" t="s">
        <v>493</v>
      </c>
      <c r="Y45" s="43" t="s">
        <v>625</v>
      </c>
      <c r="Z45" s="442" t="s">
        <v>626</v>
      </c>
    </row>
    <row r="46" spans="1:26" ht="15.75">
      <c r="A46" s="440" t="s">
        <v>481</v>
      </c>
      <c r="B46" s="43" t="s">
        <v>507</v>
      </c>
      <c r="C46" s="43">
        <v>215.465</v>
      </c>
      <c r="D46" s="43" t="s">
        <v>483</v>
      </c>
      <c r="E46" s="441">
        <v>44125</v>
      </c>
      <c r="F46" s="43" t="s">
        <v>484</v>
      </c>
      <c r="G46" s="43" t="s">
        <v>627</v>
      </c>
      <c r="H46" s="43">
        <v>0</v>
      </c>
      <c r="I46" s="43" t="s">
        <v>499</v>
      </c>
      <c r="J46" s="43" t="s">
        <v>487</v>
      </c>
      <c r="K46" s="43" t="s">
        <v>488</v>
      </c>
      <c r="L46" s="43">
        <v>10</v>
      </c>
      <c r="M46" s="43" t="s">
        <v>500</v>
      </c>
      <c r="N46" s="43">
        <v>1728</v>
      </c>
      <c r="O46" s="43" t="s">
        <v>490</v>
      </c>
      <c r="P46" s="43">
        <v>33642381</v>
      </c>
      <c r="Q46" s="43">
        <v>212222746</v>
      </c>
      <c r="R46" s="43">
        <v>37.250390000000003</v>
      </c>
      <c r="S46" s="43">
        <v>-93.311049999999994</v>
      </c>
      <c r="T46" s="43" t="s">
        <v>491</v>
      </c>
      <c r="U46" s="43">
        <v>3</v>
      </c>
      <c r="V46" s="43"/>
      <c r="W46" s="43" t="s">
        <v>492</v>
      </c>
      <c r="X46" s="43" t="s">
        <v>493</v>
      </c>
      <c r="Y46" s="43" t="s">
        <v>516</v>
      </c>
      <c r="Z46" s="442" t="s">
        <v>628</v>
      </c>
    </row>
    <row r="47" spans="1:26" ht="15.75">
      <c r="A47" s="440" t="s">
        <v>481</v>
      </c>
      <c r="B47" s="43" t="s">
        <v>507</v>
      </c>
      <c r="C47" s="43">
        <v>215.37299999999999</v>
      </c>
      <c r="D47" s="43" t="s">
        <v>483</v>
      </c>
      <c r="E47" s="441">
        <v>44271</v>
      </c>
      <c r="F47" s="43" t="s">
        <v>484</v>
      </c>
      <c r="G47" s="43" t="s">
        <v>629</v>
      </c>
      <c r="H47" s="43">
        <v>0</v>
      </c>
      <c r="I47" s="43" t="s">
        <v>499</v>
      </c>
      <c r="J47" s="43" t="s">
        <v>487</v>
      </c>
      <c r="K47" s="43" t="s">
        <v>519</v>
      </c>
      <c r="L47" s="43">
        <v>10</v>
      </c>
      <c r="M47" s="43" t="s">
        <v>509</v>
      </c>
      <c r="N47" s="43">
        <v>1601</v>
      </c>
      <c r="O47" s="43" t="s">
        <v>490</v>
      </c>
      <c r="P47" s="43">
        <v>33649043</v>
      </c>
      <c r="Q47" s="43">
        <v>212240474</v>
      </c>
      <c r="R47" s="43">
        <v>37.250390000000003</v>
      </c>
      <c r="S47" s="43">
        <v>-93.309389999999993</v>
      </c>
      <c r="T47" s="43" t="s">
        <v>491</v>
      </c>
      <c r="U47" s="43">
        <v>3</v>
      </c>
      <c r="V47" s="43"/>
      <c r="W47" s="43" t="s">
        <v>492</v>
      </c>
      <c r="X47" s="43" t="s">
        <v>493</v>
      </c>
      <c r="Y47" s="43" t="s">
        <v>516</v>
      </c>
      <c r="Z47" s="442" t="s">
        <v>630</v>
      </c>
    </row>
    <row r="48" spans="1:26" ht="15.75">
      <c r="A48" s="440" t="s">
        <v>481</v>
      </c>
      <c r="B48" s="43" t="s">
        <v>507</v>
      </c>
      <c r="C48" s="43">
        <v>215.208</v>
      </c>
      <c r="D48" s="43" t="s">
        <v>483</v>
      </c>
      <c r="E48" s="441">
        <v>44280</v>
      </c>
      <c r="F48" s="43" t="s">
        <v>484</v>
      </c>
      <c r="G48" s="43" t="s">
        <v>631</v>
      </c>
      <c r="H48" s="43">
        <v>0</v>
      </c>
      <c r="I48" s="43" t="s">
        <v>499</v>
      </c>
      <c r="J48" s="43" t="s">
        <v>542</v>
      </c>
      <c r="K48" s="43" t="s">
        <v>546</v>
      </c>
      <c r="L48" s="43">
        <v>10</v>
      </c>
      <c r="M48" s="43" t="s">
        <v>489</v>
      </c>
      <c r="N48" s="43">
        <v>1656</v>
      </c>
      <c r="O48" s="43" t="s">
        <v>490</v>
      </c>
      <c r="P48" s="43">
        <v>33649286</v>
      </c>
      <c r="Q48" s="43">
        <v>212241188</v>
      </c>
      <c r="R48" s="43">
        <v>37.25038</v>
      </c>
      <c r="S48" s="43">
        <v>-93.306399999999996</v>
      </c>
      <c r="T48" s="43" t="s">
        <v>491</v>
      </c>
      <c r="U48" s="43">
        <v>4</v>
      </c>
      <c r="V48" s="43"/>
      <c r="W48" s="43" t="s">
        <v>492</v>
      </c>
      <c r="X48" s="43" t="s">
        <v>493</v>
      </c>
      <c r="Y48" s="43" t="s">
        <v>625</v>
      </c>
      <c r="Z48" s="442" t="s">
        <v>632</v>
      </c>
    </row>
    <row r="49" spans="1:26" ht="15.75">
      <c r="A49" s="440" t="s">
        <v>481</v>
      </c>
      <c r="B49" s="43" t="s">
        <v>482</v>
      </c>
      <c r="C49" s="43">
        <v>81.965000000000003</v>
      </c>
      <c r="D49" s="43" t="s">
        <v>483</v>
      </c>
      <c r="E49" s="441">
        <v>44286</v>
      </c>
      <c r="F49" s="43" t="s">
        <v>484</v>
      </c>
      <c r="G49" s="43" t="s">
        <v>633</v>
      </c>
      <c r="H49" s="43">
        <v>0</v>
      </c>
      <c r="I49" s="43" t="s">
        <v>499</v>
      </c>
      <c r="J49" s="43" t="s">
        <v>487</v>
      </c>
      <c r="K49" s="43" t="s">
        <v>488</v>
      </c>
      <c r="L49" s="43">
        <v>9</v>
      </c>
      <c r="M49" s="43" t="s">
        <v>500</v>
      </c>
      <c r="N49" s="43">
        <v>1705</v>
      </c>
      <c r="O49" s="43" t="s">
        <v>490</v>
      </c>
      <c r="P49" s="43">
        <v>29337439</v>
      </c>
      <c r="Q49" s="43">
        <v>206169495</v>
      </c>
      <c r="R49" s="43">
        <v>37.250169999999997</v>
      </c>
      <c r="S49" s="43">
        <v>-93.233540000000005</v>
      </c>
      <c r="T49" s="43" t="s">
        <v>491</v>
      </c>
      <c r="U49" s="43">
        <v>2</v>
      </c>
      <c r="V49" s="43"/>
      <c r="W49" s="43" t="s">
        <v>492</v>
      </c>
      <c r="X49" s="43" t="s">
        <v>493</v>
      </c>
      <c r="Y49" s="43" t="s">
        <v>634</v>
      </c>
      <c r="Z49" s="442" t="s">
        <v>635</v>
      </c>
    </row>
    <row r="50" spans="1:26" ht="15.75">
      <c r="A50" s="440" t="s">
        <v>481</v>
      </c>
      <c r="B50" s="43" t="s">
        <v>507</v>
      </c>
      <c r="C50" s="43">
        <v>214.959</v>
      </c>
      <c r="D50" s="43" t="s">
        <v>483</v>
      </c>
      <c r="E50" s="441">
        <v>44294</v>
      </c>
      <c r="F50" s="43" t="s">
        <v>484</v>
      </c>
      <c r="G50" s="43" t="s">
        <v>636</v>
      </c>
      <c r="H50" s="43">
        <v>0</v>
      </c>
      <c r="I50" s="43" t="s">
        <v>499</v>
      </c>
      <c r="J50" s="43" t="s">
        <v>487</v>
      </c>
      <c r="K50" s="43" t="s">
        <v>488</v>
      </c>
      <c r="L50" s="43">
        <v>10</v>
      </c>
      <c r="M50" s="43" t="s">
        <v>489</v>
      </c>
      <c r="N50" s="43">
        <v>1159</v>
      </c>
      <c r="O50" s="43" t="s">
        <v>490</v>
      </c>
      <c r="P50" s="43">
        <v>33649409</v>
      </c>
      <c r="Q50" s="43">
        <v>212241570</v>
      </c>
      <c r="R50" s="43">
        <v>37.250399999999999</v>
      </c>
      <c r="S50" s="43">
        <v>-93.301879999999997</v>
      </c>
      <c r="T50" s="43" t="s">
        <v>491</v>
      </c>
      <c r="U50" s="43">
        <v>4</v>
      </c>
      <c r="V50" s="43" t="s">
        <v>596</v>
      </c>
      <c r="W50" s="43" t="s">
        <v>492</v>
      </c>
      <c r="X50" s="43" t="s">
        <v>493</v>
      </c>
      <c r="Y50" s="43" t="s">
        <v>516</v>
      </c>
      <c r="Z50" s="442" t="s">
        <v>637</v>
      </c>
    </row>
    <row r="51" spans="1:26" ht="15.75">
      <c r="A51" s="440" t="s">
        <v>481</v>
      </c>
      <c r="B51" s="43" t="s">
        <v>507</v>
      </c>
      <c r="C51" s="43">
        <v>214.58099999999999</v>
      </c>
      <c r="D51" s="43" t="s">
        <v>483</v>
      </c>
      <c r="E51" s="441">
        <v>44349</v>
      </c>
      <c r="F51" s="43" t="s">
        <v>484</v>
      </c>
      <c r="G51" s="43" t="s">
        <v>638</v>
      </c>
      <c r="H51" s="43">
        <v>0</v>
      </c>
      <c r="I51" s="43" t="s">
        <v>499</v>
      </c>
      <c r="J51" s="43" t="s">
        <v>487</v>
      </c>
      <c r="K51" s="43" t="s">
        <v>519</v>
      </c>
      <c r="L51" s="43">
        <v>10</v>
      </c>
      <c r="M51" s="43" t="s">
        <v>500</v>
      </c>
      <c r="N51" s="43">
        <v>1329</v>
      </c>
      <c r="O51" s="43" t="s">
        <v>490</v>
      </c>
      <c r="P51" s="43">
        <v>33650643</v>
      </c>
      <c r="Q51" s="43">
        <v>212245291</v>
      </c>
      <c r="R51" s="43">
        <v>37.250390000000003</v>
      </c>
      <c r="S51" s="43">
        <v>-93.295010000000005</v>
      </c>
      <c r="T51" s="43" t="s">
        <v>491</v>
      </c>
      <c r="U51" s="43">
        <v>2</v>
      </c>
      <c r="V51" s="43"/>
      <c r="W51" s="43" t="s">
        <v>492</v>
      </c>
      <c r="X51" s="43" t="s">
        <v>493</v>
      </c>
      <c r="Y51" s="43" t="s">
        <v>622</v>
      </c>
      <c r="Z51" s="442" t="s">
        <v>639</v>
      </c>
    </row>
    <row r="52" spans="1:26" ht="15.75">
      <c r="A52" s="440" t="s">
        <v>481</v>
      </c>
      <c r="B52" s="43" t="s">
        <v>482</v>
      </c>
      <c r="C52" s="43">
        <v>78.760999999999996</v>
      </c>
      <c r="D52" s="43" t="s">
        <v>483</v>
      </c>
      <c r="E52" s="441">
        <v>44405</v>
      </c>
      <c r="F52" s="43" t="s">
        <v>497</v>
      </c>
      <c r="G52" s="43" t="s">
        <v>640</v>
      </c>
      <c r="H52" s="43">
        <v>0</v>
      </c>
      <c r="I52" s="43" t="s">
        <v>499</v>
      </c>
      <c r="J52" s="43" t="s">
        <v>487</v>
      </c>
      <c r="K52" s="43" t="s">
        <v>488</v>
      </c>
      <c r="L52" s="43">
        <v>9</v>
      </c>
      <c r="M52" s="43" t="s">
        <v>500</v>
      </c>
      <c r="N52" s="43">
        <v>1413</v>
      </c>
      <c r="O52" s="43" t="s">
        <v>490</v>
      </c>
      <c r="P52" s="43">
        <v>31744481</v>
      </c>
      <c r="Q52" s="43">
        <v>209601223</v>
      </c>
      <c r="R52" s="43">
        <v>37.250239999999998</v>
      </c>
      <c r="S52" s="43">
        <v>-93.291679999999999</v>
      </c>
      <c r="T52" s="43" t="s">
        <v>491</v>
      </c>
      <c r="U52" s="43">
        <v>2</v>
      </c>
      <c r="V52" s="43"/>
      <c r="W52" s="43" t="s">
        <v>492</v>
      </c>
      <c r="X52" s="43" t="s">
        <v>493</v>
      </c>
      <c r="Y52" s="43" t="s">
        <v>641</v>
      </c>
      <c r="Z52" s="442" t="s">
        <v>642</v>
      </c>
    </row>
    <row r="53" spans="1:26" ht="15.75">
      <c r="A53" s="440" t="s">
        <v>481</v>
      </c>
      <c r="B53" s="43" t="s">
        <v>507</v>
      </c>
      <c r="C53" s="43">
        <v>215.15700000000001</v>
      </c>
      <c r="D53" s="43" t="s">
        <v>483</v>
      </c>
      <c r="E53" s="441">
        <v>44416</v>
      </c>
      <c r="F53" s="43" t="s">
        <v>484</v>
      </c>
      <c r="G53" s="43" t="s">
        <v>643</v>
      </c>
      <c r="H53" s="43">
        <v>0</v>
      </c>
      <c r="I53" s="43" t="s">
        <v>499</v>
      </c>
      <c r="J53" s="43" t="s">
        <v>487</v>
      </c>
      <c r="K53" s="43" t="s">
        <v>488</v>
      </c>
      <c r="L53" s="43">
        <v>10</v>
      </c>
      <c r="M53" s="43" t="s">
        <v>513</v>
      </c>
      <c r="N53" s="43">
        <v>1351</v>
      </c>
      <c r="O53" s="43" t="s">
        <v>490</v>
      </c>
      <c r="P53" s="43">
        <v>33652140</v>
      </c>
      <c r="Q53" s="43">
        <v>212249728</v>
      </c>
      <c r="R53" s="43">
        <v>37.25038</v>
      </c>
      <c r="S53" s="43">
        <v>-93.30547</v>
      </c>
      <c r="T53" s="43" t="s">
        <v>491</v>
      </c>
      <c r="U53" s="43">
        <v>2</v>
      </c>
      <c r="V53" s="43"/>
      <c r="W53" s="43" t="s">
        <v>492</v>
      </c>
      <c r="X53" s="43" t="s">
        <v>493</v>
      </c>
      <c r="Y53" s="43" t="s">
        <v>569</v>
      </c>
      <c r="Z53" s="442" t="s">
        <v>644</v>
      </c>
    </row>
    <row r="54" spans="1:26" ht="15.75">
      <c r="A54" s="440" t="s">
        <v>481</v>
      </c>
      <c r="B54" s="43" t="s">
        <v>507</v>
      </c>
      <c r="C54" s="43">
        <v>214.994</v>
      </c>
      <c r="D54" s="43" t="s">
        <v>483</v>
      </c>
      <c r="E54" s="441">
        <v>44420</v>
      </c>
      <c r="F54" s="43" t="s">
        <v>484</v>
      </c>
      <c r="G54" s="43" t="s">
        <v>645</v>
      </c>
      <c r="H54" s="43">
        <v>0</v>
      </c>
      <c r="I54" s="43" t="s">
        <v>499</v>
      </c>
      <c r="J54" s="43" t="s">
        <v>487</v>
      </c>
      <c r="K54" s="43" t="s">
        <v>488</v>
      </c>
      <c r="L54" s="43">
        <v>10</v>
      </c>
      <c r="M54" s="43" t="s">
        <v>489</v>
      </c>
      <c r="N54" s="43">
        <v>1521</v>
      </c>
      <c r="O54" s="43" t="s">
        <v>490</v>
      </c>
      <c r="P54" s="43">
        <v>33652344</v>
      </c>
      <c r="Q54" s="43">
        <v>212250331</v>
      </c>
      <c r="R54" s="43">
        <v>37.250399999999999</v>
      </c>
      <c r="S54" s="43">
        <v>-93.302509999999998</v>
      </c>
      <c r="T54" s="43" t="s">
        <v>491</v>
      </c>
      <c r="U54" s="43">
        <v>2</v>
      </c>
      <c r="V54" s="43"/>
      <c r="W54" s="43" t="s">
        <v>492</v>
      </c>
      <c r="X54" s="43" t="s">
        <v>493</v>
      </c>
      <c r="Y54" s="43" t="s">
        <v>646</v>
      </c>
      <c r="Z54" s="442" t="s">
        <v>647</v>
      </c>
    </row>
    <row r="55" spans="1:26" ht="15.75">
      <c r="A55" s="440" t="s">
        <v>481</v>
      </c>
      <c r="B55" s="43" t="s">
        <v>507</v>
      </c>
      <c r="C55" s="43">
        <v>215.15700000000001</v>
      </c>
      <c r="D55" s="43" t="s">
        <v>483</v>
      </c>
      <c r="E55" s="441">
        <v>44442</v>
      </c>
      <c r="F55" s="43" t="s">
        <v>484</v>
      </c>
      <c r="G55" s="43" t="s">
        <v>648</v>
      </c>
      <c r="H55" s="43">
        <v>0</v>
      </c>
      <c r="I55" s="43" t="s">
        <v>499</v>
      </c>
      <c r="J55" s="43" t="s">
        <v>487</v>
      </c>
      <c r="K55" s="43" t="s">
        <v>488</v>
      </c>
      <c r="L55" s="43">
        <v>10</v>
      </c>
      <c r="M55" s="43" t="s">
        <v>536</v>
      </c>
      <c r="N55" s="43">
        <v>1532</v>
      </c>
      <c r="O55" s="43" t="s">
        <v>490</v>
      </c>
      <c r="P55" s="43">
        <v>33652765</v>
      </c>
      <c r="Q55" s="43">
        <v>212251614</v>
      </c>
      <c r="R55" s="43">
        <v>37.25038</v>
      </c>
      <c r="S55" s="43">
        <v>-93.30547</v>
      </c>
      <c r="T55" s="43" t="s">
        <v>491</v>
      </c>
      <c r="U55" s="43">
        <v>3</v>
      </c>
      <c r="V55" s="43" t="s">
        <v>515</v>
      </c>
      <c r="W55" s="43" t="s">
        <v>492</v>
      </c>
      <c r="X55" s="43" t="s">
        <v>493</v>
      </c>
      <c r="Y55" s="43" t="s">
        <v>569</v>
      </c>
      <c r="Z55" s="442" t="s">
        <v>649</v>
      </c>
    </row>
    <row r="56" spans="1:26" ht="15.75">
      <c r="A56" s="440" t="s">
        <v>481</v>
      </c>
      <c r="B56" s="43" t="s">
        <v>507</v>
      </c>
      <c r="C56" s="43">
        <v>215.15700000000001</v>
      </c>
      <c r="D56" s="43" t="s">
        <v>483</v>
      </c>
      <c r="E56" s="441">
        <v>44479</v>
      </c>
      <c r="F56" s="43" t="s">
        <v>497</v>
      </c>
      <c r="G56" s="43" t="s">
        <v>650</v>
      </c>
      <c r="H56" s="43">
        <v>0</v>
      </c>
      <c r="I56" s="43" t="s">
        <v>499</v>
      </c>
      <c r="J56" s="43" t="s">
        <v>487</v>
      </c>
      <c r="K56" s="43" t="s">
        <v>519</v>
      </c>
      <c r="L56" s="43">
        <v>10</v>
      </c>
      <c r="M56" s="43" t="s">
        <v>513</v>
      </c>
      <c r="N56" s="43">
        <v>1122</v>
      </c>
      <c r="O56" s="43" t="s">
        <v>490</v>
      </c>
      <c r="P56" s="43">
        <v>34379135</v>
      </c>
      <c r="Q56" s="43">
        <v>213165717</v>
      </c>
      <c r="R56" s="43">
        <v>37.25038</v>
      </c>
      <c r="S56" s="43">
        <v>-93.30547</v>
      </c>
      <c r="T56" s="43" t="s">
        <v>491</v>
      </c>
      <c r="U56" s="43">
        <v>4</v>
      </c>
      <c r="V56" s="43"/>
      <c r="W56" s="43" t="s">
        <v>492</v>
      </c>
      <c r="X56" s="43" t="s">
        <v>493</v>
      </c>
      <c r="Y56" s="43" t="s">
        <v>569</v>
      </c>
      <c r="Z56" s="442" t="s">
        <v>651</v>
      </c>
    </row>
    <row r="57" spans="1:26" ht="15.75">
      <c r="A57" s="440" t="s">
        <v>481</v>
      </c>
      <c r="B57" s="43" t="s">
        <v>507</v>
      </c>
      <c r="C57" s="43">
        <v>215.15700000000001</v>
      </c>
      <c r="D57" s="43" t="s">
        <v>483</v>
      </c>
      <c r="E57" s="441">
        <v>44479</v>
      </c>
      <c r="F57" s="43" t="s">
        <v>497</v>
      </c>
      <c r="G57" s="43" t="s">
        <v>652</v>
      </c>
      <c r="H57" s="43">
        <v>0</v>
      </c>
      <c r="I57" s="43" t="s">
        <v>499</v>
      </c>
      <c r="J57" s="43" t="s">
        <v>487</v>
      </c>
      <c r="K57" s="43" t="s">
        <v>488</v>
      </c>
      <c r="L57" s="43">
        <v>10</v>
      </c>
      <c r="M57" s="43" t="s">
        <v>513</v>
      </c>
      <c r="N57" s="43">
        <v>1120</v>
      </c>
      <c r="O57" s="43" t="s">
        <v>490</v>
      </c>
      <c r="P57" s="43">
        <v>34287172</v>
      </c>
      <c r="Q57" s="43">
        <v>212972762</v>
      </c>
      <c r="R57" s="43">
        <v>37.25038</v>
      </c>
      <c r="S57" s="43">
        <v>-93.30547</v>
      </c>
      <c r="T57" s="43" t="s">
        <v>491</v>
      </c>
      <c r="U57" s="43">
        <v>4</v>
      </c>
      <c r="V57" s="43"/>
      <c r="W57" s="43" t="s">
        <v>492</v>
      </c>
      <c r="X57" s="43" t="s">
        <v>493</v>
      </c>
      <c r="Y57" s="43" t="s">
        <v>569</v>
      </c>
      <c r="Z57" s="442" t="s">
        <v>653</v>
      </c>
    </row>
    <row r="58" spans="1:26" ht="15.75">
      <c r="A58" s="440" t="s">
        <v>481</v>
      </c>
      <c r="B58" s="43" t="s">
        <v>507</v>
      </c>
      <c r="C58" s="43">
        <v>218.03899999999999</v>
      </c>
      <c r="D58" s="43" t="s">
        <v>483</v>
      </c>
      <c r="E58" s="441">
        <v>44504</v>
      </c>
      <c r="F58" s="43" t="s">
        <v>484</v>
      </c>
      <c r="G58" s="43" t="s">
        <v>654</v>
      </c>
      <c r="H58" s="43">
        <v>0</v>
      </c>
      <c r="I58" s="43" t="s">
        <v>499</v>
      </c>
      <c r="J58" s="43" t="s">
        <v>487</v>
      </c>
      <c r="K58" s="43" t="s">
        <v>488</v>
      </c>
      <c r="L58" s="43">
        <v>10</v>
      </c>
      <c r="M58" s="43" t="s">
        <v>489</v>
      </c>
      <c r="N58" s="43">
        <v>1315</v>
      </c>
      <c r="O58" s="43" t="s">
        <v>490</v>
      </c>
      <c r="P58" s="43">
        <v>34505927</v>
      </c>
      <c r="Q58" s="43">
        <v>213580504</v>
      </c>
      <c r="R58" s="43">
        <v>37.24156</v>
      </c>
      <c r="S58" s="43">
        <v>-93.35333</v>
      </c>
      <c r="T58" s="43" t="s">
        <v>491</v>
      </c>
      <c r="U58" s="43">
        <v>2</v>
      </c>
      <c r="V58" s="43"/>
      <c r="W58" s="43" t="s">
        <v>492</v>
      </c>
      <c r="X58" s="43" t="s">
        <v>493</v>
      </c>
      <c r="Y58" s="43" t="s">
        <v>564</v>
      </c>
      <c r="Z58" s="442" t="s">
        <v>655</v>
      </c>
    </row>
    <row r="59" spans="1:26" ht="16.5" thickBot="1">
      <c r="A59" s="443" t="s">
        <v>481</v>
      </c>
      <c r="B59" s="444" t="s">
        <v>507</v>
      </c>
      <c r="C59" s="444">
        <v>212.85599999999999</v>
      </c>
      <c r="D59" s="444" t="s">
        <v>483</v>
      </c>
      <c r="E59" s="445">
        <v>44551</v>
      </c>
      <c r="F59" s="444" t="s">
        <v>484</v>
      </c>
      <c r="G59" s="444" t="s">
        <v>656</v>
      </c>
      <c r="H59" s="444">
        <v>0</v>
      </c>
      <c r="I59" s="444" t="s">
        <v>499</v>
      </c>
      <c r="J59" s="444" t="s">
        <v>487</v>
      </c>
      <c r="K59" s="444" t="s">
        <v>488</v>
      </c>
      <c r="L59" s="444">
        <v>10</v>
      </c>
      <c r="M59" s="444" t="s">
        <v>509</v>
      </c>
      <c r="N59" s="444">
        <v>859</v>
      </c>
      <c r="O59" s="444" t="s">
        <v>490</v>
      </c>
      <c r="P59" s="444">
        <v>36254512</v>
      </c>
      <c r="Q59" s="444">
        <v>216010413</v>
      </c>
      <c r="R59" s="444">
        <v>37.250360000000001</v>
      </c>
      <c r="S59" s="444">
        <v>-93.2637</v>
      </c>
      <c r="T59" s="444" t="s">
        <v>491</v>
      </c>
      <c r="U59" s="444">
        <v>2</v>
      </c>
      <c r="V59" s="444"/>
      <c r="W59" s="444" t="s">
        <v>492</v>
      </c>
      <c r="X59" s="444" t="s">
        <v>493</v>
      </c>
      <c r="Y59" s="444" t="s">
        <v>529</v>
      </c>
      <c r="Z59" s="446" t="s">
        <v>657</v>
      </c>
    </row>
    <row r="61" spans="1:26" ht="15.75" thickBot="1"/>
    <row r="62" spans="1:26" ht="27" customHeight="1">
      <c r="D62" s="568" t="s">
        <v>658</v>
      </c>
      <c r="E62" s="569"/>
      <c r="F62" s="569"/>
      <c r="G62" s="570"/>
    </row>
    <row r="63" spans="1:26">
      <c r="D63" s="448" t="s">
        <v>659</v>
      </c>
      <c r="E63" s="449" t="s">
        <v>660</v>
      </c>
      <c r="F63" s="449" t="s">
        <v>661</v>
      </c>
      <c r="G63" s="450" t="s">
        <v>662</v>
      </c>
      <c r="J63" s="56"/>
    </row>
    <row r="64" spans="1:26" ht="15.75" thickBot="1">
      <c r="D64" s="130">
        <f>(COUNTIF(F4:F59,F73))/4</f>
        <v>0.25</v>
      </c>
      <c r="E64" s="131">
        <f>(COUNTIF(F4:F59,F74))/4</f>
        <v>0.75</v>
      </c>
      <c r="F64" s="131">
        <f>(COUNTIF(F4:F59,F75))/4</f>
        <v>6</v>
      </c>
      <c r="G64" s="132">
        <f>(COUNTIF(F4:F59,F76))/4</f>
        <v>7</v>
      </c>
    </row>
    <row r="65" spans="4:13">
      <c r="D65" s="660" t="s">
        <v>663</v>
      </c>
      <c r="E65" s="660"/>
      <c r="F65" s="660"/>
      <c r="G65" s="660"/>
    </row>
    <row r="66" spans="4:13" ht="15.75" thickBot="1"/>
    <row r="67" spans="4:13" ht="22.5" customHeight="1">
      <c r="D67" s="568" t="s">
        <v>664</v>
      </c>
      <c r="E67" s="569"/>
      <c r="F67" s="569"/>
      <c r="G67" s="570"/>
    </row>
    <row r="68" spans="4:13">
      <c r="D68" s="448" t="s">
        <v>659</v>
      </c>
      <c r="E68" s="449" t="s">
        <v>660</v>
      </c>
      <c r="F68" s="449" t="s">
        <v>661</v>
      </c>
      <c r="G68" s="450" t="s">
        <v>662</v>
      </c>
    </row>
    <row r="69" spans="4:13" ht="15.75" thickBot="1">
      <c r="D69" s="133">
        <f>D64*0.75</f>
        <v>0.1875</v>
      </c>
      <c r="E69" s="451">
        <f t="shared" ref="E69:G69" si="0">E64*0.75</f>
        <v>0.5625</v>
      </c>
      <c r="F69" s="451">
        <f t="shared" si="0"/>
        <v>4.5</v>
      </c>
      <c r="G69" s="452">
        <f t="shared" si="0"/>
        <v>5.25</v>
      </c>
    </row>
    <row r="70" spans="4:13" ht="15" customHeight="1">
      <c r="D70" s="567" t="s">
        <v>665</v>
      </c>
      <c r="E70" s="567"/>
      <c r="F70" s="567"/>
      <c r="G70" s="567"/>
    </row>
    <row r="71" spans="4:13">
      <c r="D71" s="36"/>
      <c r="E71" s="36"/>
      <c r="F71" s="36"/>
      <c r="G71" s="36"/>
      <c r="M71" t="s">
        <v>666</v>
      </c>
    </row>
    <row r="72" spans="4:13">
      <c r="F72" s="447" t="s">
        <v>240</v>
      </c>
    </row>
    <row r="73" spans="4:13">
      <c r="F73" s="126" t="s">
        <v>615</v>
      </c>
    </row>
    <row r="74" spans="4:13" ht="15.75">
      <c r="F74" s="134" t="s">
        <v>593</v>
      </c>
    </row>
    <row r="75" spans="4:13" ht="15.75">
      <c r="F75" s="134" t="s">
        <v>484</v>
      </c>
    </row>
    <row r="76" spans="4:13" ht="15.75">
      <c r="F76" s="134" t="s">
        <v>497</v>
      </c>
    </row>
  </sheetData>
  <sortState xmlns:xlrd2="http://schemas.microsoft.com/office/spreadsheetml/2017/richdata2" ref="A4:Z59">
    <sortCondition ref="E4:E59"/>
  </sortState>
  <mergeCells count="5">
    <mergeCell ref="D62:G62"/>
    <mergeCell ref="D67:G67"/>
    <mergeCell ref="D70:G70"/>
    <mergeCell ref="D65:G65"/>
    <mergeCell ref="A2:Z2"/>
  </mergeCells>
  <hyperlinks>
    <hyperlink ref="Z4" r:id="rId1" xr:uid="{D1835BE9-9B54-446D-8232-928CD8ED543E}"/>
    <hyperlink ref="Z5" r:id="rId2" xr:uid="{88C2A6A2-533B-48C3-90E1-F1D2016BD2E3}"/>
    <hyperlink ref="Z6" r:id="rId3" xr:uid="{A1CD7F03-32C6-4594-AB83-6C067A329764}"/>
    <hyperlink ref="Z9" r:id="rId4" xr:uid="{8B5A7C44-A7B2-4A5C-842A-F433EA8C4E50}"/>
    <hyperlink ref="Z8" r:id="rId5" xr:uid="{C61983B5-42F7-491D-A397-7461FD99B986}"/>
    <hyperlink ref="Z10" r:id="rId6" xr:uid="{121BC059-2C47-4831-ACE0-A2B749433E47}"/>
    <hyperlink ref="Z11" r:id="rId7" xr:uid="{95376BF4-D6C2-4FF1-BA2B-0E40DAC28B04}"/>
    <hyperlink ref="Z12" r:id="rId8" xr:uid="{B055F434-6FC3-4062-993A-0737CF23749C}"/>
    <hyperlink ref="Z13" r:id="rId9" xr:uid="{6097FE49-859C-4BCB-A93B-3C29AAFA91AE}"/>
    <hyperlink ref="Z14" r:id="rId10" xr:uid="{539E7057-CD67-40E8-BD9F-6A238C4FD26D}"/>
    <hyperlink ref="Z15" r:id="rId11" xr:uid="{06FBF7DB-1FE4-4838-9238-731D06E0B351}"/>
    <hyperlink ref="Z17" r:id="rId12" xr:uid="{51FDFDD4-0269-4969-867D-8257FF45DBAD}"/>
    <hyperlink ref="Z18" r:id="rId13" xr:uid="{1B99618B-45C2-4A24-88EA-F6E3003D4D6D}"/>
    <hyperlink ref="Z19" r:id="rId14" xr:uid="{281DE026-E77A-4C20-8EDC-7C9243B0987C}"/>
    <hyperlink ref="Z21" r:id="rId15" xr:uid="{B19E47DC-9C9E-474A-AEE3-4F77AD3FC8D2}"/>
    <hyperlink ref="Z20" r:id="rId16" xr:uid="{07871D09-4CE0-4C2A-BD58-37B1381B1FD3}"/>
    <hyperlink ref="Z22" r:id="rId17" xr:uid="{69575FA4-79F5-4C6F-B42F-9FF47502806F}"/>
    <hyperlink ref="Z24" r:id="rId18" xr:uid="{6C97BFC8-5674-4D9B-8D44-5892128E9D37}"/>
    <hyperlink ref="Z25" r:id="rId19" xr:uid="{4103F67D-AD5B-4646-8D37-272D378E7EB9}"/>
    <hyperlink ref="Z23" r:id="rId20" xr:uid="{EB2E5C87-7C42-44F8-AB01-7CE91E794C9C}"/>
    <hyperlink ref="Z26" r:id="rId21" xr:uid="{D5659B2F-BB55-46ED-A240-55E612B5413B}"/>
    <hyperlink ref="Z27" r:id="rId22" xr:uid="{2CD2E425-B27E-48A0-9635-5682A307662E}"/>
    <hyperlink ref="Z29" r:id="rId23" xr:uid="{46DF845C-C9FA-407F-9043-79ADBE66D179}"/>
    <hyperlink ref="Z30" r:id="rId24" xr:uid="{78A2156E-4C19-4E22-BD57-7EA7BD7C3E57}"/>
    <hyperlink ref="Z28" r:id="rId25" xr:uid="{CA6F96E6-C154-4A84-9C63-09DA0A8E79F6}"/>
    <hyperlink ref="Z31" r:id="rId26" xr:uid="{20ADBF16-3996-485C-ACA8-8CEDBA51E9F0}"/>
    <hyperlink ref="Z32" r:id="rId27" xr:uid="{D29C42E9-A740-45FE-8FF8-22EFD5CF1583}"/>
    <hyperlink ref="Z34" r:id="rId28" xr:uid="{6B97C6A2-0D27-448A-979A-137AE7EA5B85}"/>
    <hyperlink ref="Z33" r:id="rId29" xr:uid="{17EAA197-E56F-4AD4-B1DD-56DE01BE370F}"/>
    <hyperlink ref="Z35" r:id="rId30" xr:uid="{50156F59-DBF9-4CBD-9A42-8A1A7783BC47}"/>
    <hyperlink ref="Z36" r:id="rId31" xr:uid="{A13B3B0C-D6EB-4AA9-9802-BA48169988A4}"/>
    <hyperlink ref="Z37" r:id="rId32" xr:uid="{A7F83D20-76D1-47A7-9A10-35506E61575B}"/>
    <hyperlink ref="Z38" r:id="rId33" xr:uid="{3853F162-EB6A-4F08-96F2-6061D7B1697F}"/>
    <hyperlink ref="Z39" r:id="rId34" xr:uid="{CBDACB08-9E2B-4AEE-B285-4448D4C7E25E}"/>
    <hyperlink ref="Z40" r:id="rId35" xr:uid="{019A3CBF-EDFD-4337-9D77-977F2882DABA}"/>
    <hyperlink ref="Z41" r:id="rId36" xr:uid="{A7F823DE-CC84-4704-A2AE-2F72ECF236CC}"/>
    <hyperlink ref="Z42" r:id="rId37" xr:uid="{00E483D6-02BD-4E07-BF15-B4FF617FF02E}"/>
    <hyperlink ref="Z43" r:id="rId38" xr:uid="{A5469585-031A-49BB-9357-B987C173B04E}"/>
    <hyperlink ref="Z44" r:id="rId39" xr:uid="{08032226-7645-4674-BEA6-EF5FE432A60D}"/>
    <hyperlink ref="Z45" r:id="rId40" xr:uid="{7B9E82FC-EBAA-4909-8D32-CC2F67B1E554}"/>
    <hyperlink ref="Z46" r:id="rId41" xr:uid="{76EE3D14-CAE4-447A-A2BD-C5971DD9CE2D}"/>
    <hyperlink ref="Z47" r:id="rId42" xr:uid="{2C458189-346E-4780-9327-86E9A4A13B5E}"/>
    <hyperlink ref="Z48" r:id="rId43" xr:uid="{24A02E44-49B0-4DC5-B014-32D1073B444C}"/>
    <hyperlink ref="Z49" r:id="rId44" xr:uid="{FAF52268-8399-4F94-ADE0-8DEC33C7AA6A}"/>
    <hyperlink ref="Z50" r:id="rId45" xr:uid="{E821773C-BFB1-419D-BE21-29EAE7F2EEFD}"/>
    <hyperlink ref="Z51" r:id="rId46" xr:uid="{83ECEBB5-A454-4146-9DE2-14C96AED0FE6}"/>
    <hyperlink ref="Z52" r:id="rId47" xr:uid="{66D03C29-2BB8-4670-9541-0902A6B63DD8}"/>
    <hyperlink ref="Z53" r:id="rId48" xr:uid="{39A52699-8F09-4C2A-85F5-E6F50D8A5CE2}"/>
    <hyperlink ref="Z54" r:id="rId49" xr:uid="{CF23BA76-C291-44C0-B709-67D11B260D17}"/>
    <hyperlink ref="Z55" r:id="rId50" xr:uid="{23B430CC-2242-4898-824C-F99AE2841808}"/>
    <hyperlink ref="Z58" r:id="rId51" xr:uid="{DC219AB6-C27F-4E5B-8ABF-753059FFC8FD}"/>
    <hyperlink ref="Z59" r:id="rId52" xr:uid="{EFD30517-E290-40E1-9FF7-8EDB0D245725}"/>
    <hyperlink ref="Z7" r:id="rId53" xr:uid="{5A401347-02FA-4A29-9E5C-04FE0D3A0B41}"/>
    <hyperlink ref="Z16" r:id="rId54" xr:uid="{24BE71DE-CEC1-4DDA-B6C9-81CCD68A535D}"/>
    <hyperlink ref="Z56" r:id="rId55" xr:uid="{2DE9779D-D2C7-49C2-9EEB-332AF84DB6EA}"/>
    <hyperlink ref="Z57" r:id="rId56" xr:uid="{B01F785E-B30C-4630-8F7D-62EA79EFE4BD}"/>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E3522-D3CB-4987-84E4-353C0996C5D1}">
  <sheetPr>
    <tabColor rgb="FFCCEEFC"/>
  </sheetPr>
  <dimension ref="A1:J138"/>
  <sheetViews>
    <sheetView tabSelected="1" zoomScale="70" zoomScaleNormal="70" workbookViewId="0">
      <pane ySplit="2" topLeftCell="A3" activePane="bottomLeft" state="frozen"/>
      <selection activeCell="Q92" sqref="Q92"/>
      <selection pane="bottomLeft" activeCell="G137" sqref="G137"/>
    </sheetView>
  </sheetViews>
  <sheetFormatPr defaultColWidth="9.140625" defaultRowHeight="15.75"/>
  <cols>
    <col min="1" max="1" width="20.28515625" style="41" bestFit="1" customWidth="1"/>
    <col min="2" max="2" width="35.28515625" style="41" bestFit="1" customWidth="1"/>
    <col min="3" max="3" width="51.42578125" style="41" customWidth="1"/>
    <col min="4" max="4" width="10.140625" style="41" bestFit="1" customWidth="1"/>
    <col min="5" max="5" width="9.42578125" style="41" bestFit="1" customWidth="1"/>
    <col min="6" max="6" width="15.7109375" style="41" bestFit="1" customWidth="1"/>
    <col min="7" max="7" width="24.85546875" style="41" bestFit="1" customWidth="1"/>
    <col min="8" max="8" width="17.28515625" style="41" bestFit="1" customWidth="1"/>
    <col min="9" max="9" width="100.85546875" style="41" customWidth="1"/>
    <col min="10" max="10" width="20.140625" style="41" bestFit="1" customWidth="1"/>
    <col min="11" max="16384" width="9.140625" style="41"/>
  </cols>
  <sheetData>
    <row r="1" spans="1:10">
      <c r="A1" s="666" t="s">
        <v>667</v>
      </c>
      <c r="B1" s="666"/>
      <c r="C1" s="666"/>
      <c r="D1" s="666"/>
      <c r="E1" s="666"/>
      <c r="F1" s="666"/>
      <c r="G1" s="666"/>
      <c r="H1" s="666"/>
      <c r="I1" s="666"/>
    </row>
    <row r="2" spans="1:10" ht="16.5" customHeight="1">
      <c r="A2" s="453" t="s">
        <v>668</v>
      </c>
      <c r="B2" s="453" t="s">
        <v>669</v>
      </c>
      <c r="C2" s="453" t="s">
        <v>670</v>
      </c>
      <c r="D2" s="453" t="s">
        <v>671</v>
      </c>
      <c r="E2" s="453" t="s">
        <v>672</v>
      </c>
      <c r="F2" s="453" t="s">
        <v>673</v>
      </c>
      <c r="G2" s="453" t="s">
        <v>674</v>
      </c>
      <c r="H2" s="453" t="s">
        <v>675</v>
      </c>
      <c r="I2" s="453" t="s">
        <v>676</v>
      </c>
    </row>
    <row r="3" spans="1:10">
      <c r="A3" s="42">
        <v>43114.326643518521</v>
      </c>
      <c r="B3" s="41" t="s">
        <v>677</v>
      </c>
      <c r="C3" s="41" t="s">
        <v>678</v>
      </c>
      <c r="D3" s="41" t="s">
        <v>679</v>
      </c>
      <c r="E3" s="41">
        <v>81</v>
      </c>
      <c r="F3" s="41">
        <v>44</v>
      </c>
      <c r="G3" s="41">
        <v>34</v>
      </c>
      <c r="I3" s="41" t="s">
        <v>680</v>
      </c>
      <c r="J3" s="41" t="s">
        <v>681</v>
      </c>
    </row>
    <row r="4" spans="1:10">
      <c r="A4" s="42">
        <v>43114.8203125</v>
      </c>
      <c r="B4" s="41" t="s">
        <v>682</v>
      </c>
      <c r="C4" s="41" t="s">
        <v>683</v>
      </c>
      <c r="D4" s="41" t="s">
        <v>684</v>
      </c>
      <c r="E4" s="41">
        <v>79.2</v>
      </c>
      <c r="F4" s="41">
        <v>99</v>
      </c>
      <c r="G4" s="41">
        <v>55</v>
      </c>
      <c r="I4" s="41" t="s">
        <v>685</v>
      </c>
    </row>
    <row r="5" spans="1:10">
      <c r="A5" s="42">
        <v>43125.895138888889</v>
      </c>
      <c r="B5" s="41" t="s">
        <v>686</v>
      </c>
      <c r="C5" s="41" t="s">
        <v>687</v>
      </c>
      <c r="D5" s="41" t="s">
        <v>679</v>
      </c>
      <c r="E5" s="41">
        <v>82</v>
      </c>
      <c r="F5" s="41">
        <v>51</v>
      </c>
      <c r="G5" s="41">
        <v>44</v>
      </c>
    </row>
    <row r="6" spans="1:10">
      <c r="A6" s="42">
        <v>43154.530775462961</v>
      </c>
      <c r="B6" s="41" t="s">
        <v>688</v>
      </c>
      <c r="C6" s="41" t="s">
        <v>689</v>
      </c>
      <c r="D6" s="41" t="s">
        <v>679</v>
      </c>
      <c r="E6" s="41">
        <v>78.8</v>
      </c>
      <c r="F6" s="41">
        <v>68</v>
      </c>
      <c r="G6" s="41">
        <v>17</v>
      </c>
      <c r="I6" s="41" t="s">
        <v>690</v>
      </c>
    </row>
    <row r="7" spans="1:10">
      <c r="A7" s="42">
        <v>43173.574918981481</v>
      </c>
      <c r="B7" s="41" t="s">
        <v>691</v>
      </c>
      <c r="C7" s="41" t="s">
        <v>692</v>
      </c>
      <c r="D7" s="41" t="s">
        <v>684</v>
      </c>
      <c r="E7" s="41">
        <v>80.2</v>
      </c>
      <c r="F7" s="41">
        <v>55</v>
      </c>
      <c r="G7" s="41">
        <v>43</v>
      </c>
      <c r="I7" s="41" t="s">
        <v>693</v>
      </c>
      <c r="J7" s="41" t="s">
        <v>694</v>
      </c>
    </row>
    <row r="8" spans="1:10">
      <c r="A8" s="42">
        <v>43213.529317129629</v>
      </c>
      <c r="B8" s="41" t="s">
        <v>682</v>
      </c>
      <c r="C8" s="41" t="s">
        <v>695</v>
      </c>
      <c r="D8" s="41" t="s">
        <v>684</v>
      </c>
      <c r="E8" s="41">
        <v>79</v>
      </c>
      <c r="F8" s="41">
        <v>90</v>
      </c>
      <c r="G8" s="41">
        <v>57</v>
      </c>
      <c r="I8" s="41" t="s">
        <v>696</v>
      </c>
      <c r="J8" s="41" t="s">
        <v>694</v>
      </c>
    </row>
    <row r="9" spans="1:10">
      <c r="A9" s="42">
        <v>43216.203414351854</v>
      </c>
      <c r="B9" s="41" t="s">
        <v>688</v>
      </c>
      <c r="C9" s="41" t="s">
        <v>697</v>
      </c>
      <c r="D9" s="41" t="s">
        <v>684</v>
      </c>
      <c r="E9" s="41">
        <v>82</v>
      </c>
      <c r="F9" s="41">
        <v>84</v>
      </c>
      <c r="G9" s="41">
        <v>128</v>
      </c>
      <c r="I9" s="41" t="s">
        <v>698</v>
      </c>
    </row>
    <row r="10" spans="1:10">
      <c r="A10" s="42">
        <v>43219.322395833333</v>
      </c>
      <c r="B10" s="41" t="s">
        <v>699</v>
      </c>
      <c r="C10" s="41" t="s">
        <v>700</v>
      </c>
      <c r="D10" s="41" t="s">
        <v>679</v>
      </c>
      <c r="E10" s="41">
        <v>80.8</v>
      </c>
      <c r="F10" s="41">
        <v>34</v>
      </c>
      <c r="G10" s="41">
        <v>13</v>
      </c>
      <c r="I10" s="41" t="s">
        <v>701</v>
      </c>
      <c r="J10" s="41" t="s">
        <v>702</v>
      </c>
    </row>
    <row r="11" spans="1:10">
      <c r="A11" s="42">
        <v>43219.528391203705</v>
      </c>
      <c r="B11" s="41" t="s">
        <v>682</v>
      </c>
      <c r="C11" s="41" t="s">
        <v>683</v>
      </c>
      <c r="D11" s="41" t="s">
        <v>684</v>
      </c>
      <c r="E11" s="41">
        <v>79.2</v>
      </c>
      <c r="F11" s="41">
        <v>62</v>
      </c>
      <c r="G11" s="41">
        <v>39</v>
      </c>
      <c r="J11" s="41" t="s">
        <v>703</v>
      </c>
    </row>
    <row r="12" spans="1:10">
      <c r="A12" s="42">
        <v>43246.529016203705</v>
      </c>
      <c r="B12" s="41" t="s">
        <v>691</v>
      </c>
      <c r="C12" s="41" t="s">
        <v>704</v>
      </c>
      <c r="D12" s="41" t="s">
        <v>679</v>
      </c>
      <c r="E12" s="41">
        <v>78.599999999999994</v>
      </c>
      <c r="F12" s="41">
        <v>46</v>
      </c>
      <c r="G12" s="41">
        <v>19</v>
      </c>
      <c r="I12" s="41" t="s">
        <v>705</v>
      </c>
      <c r="J12" s="41" t="s">
        <v>706</v>
      </c>
    </row>
    <row r="13" spans="1:10">
      <c r="A13" s="42">
        <v>43251.421539351853</v>
      </c>
      <c r="B13" s="41" t="s">
        <v>707</v>
      </c>
      <c r="C13" s="41" t="s">
        <v>692</v>
      </c>
      <c r="D13" s="41" t="s">
        <v>684</v>
      </c>
      <c r="E13" s="41">
        <v>80.2</v>
      </c>
      <c r="F13" s="41">
        <v>98</v>
      </c>
      <c r="G13" s="41">
        <v>78</v>
      </c>
      <c r="I13" s="41" t="s">
        <v>708</v>
      </c>
    </row>
    <row r="14" spans="1:10">
      <c r="A14" s="42">
        <v>43263.424212962964</v>
      </c>
      <c r="B14" s="41" t="s">
        <v>686</v>
      </c>
      <c r="C14" s="41" t="s">
        <v>709</v>
      </c>
      <c r="D14" s="41" t="s">
        <v>679</v>
      </c>
      <c r="E14" s="41">
        <v>79</v>
      </c>
      <c r="F14" s="41">
        <v>62</v>
      </c>
      <c r="G14" s="41">
        <v>13</v>
      </c>
      <c r="I14" s="41" t="s">
        <v>710</v>
      </c>
    </row>
    <row r="15" spans="1:10">
      <c r="A15" s="42">
        <v>43268.44189814815</v>
      </c>
      <c r="B15" s="41" t="s">
        <v>682</v>
      </c>
      <c r="C15" s="41" t="s">
        <v>711</v>
      </c>
      <c r="D15" s="41" t="s">
        <v>684</v>
      </c>
      <c r="E15" s="41">
        <v>78</v>
      </c>
      <c r="F15" s="41">
        <v>108</v>
      </c>
      <c r="G15" s="41">
        <v>73</v>
      </c>
      <c r="I15" s="41" t="s">
        <v>712</v>
      </c>
      <c r="J15" s="41" t="s">
        <v>713</v>
      </c>
    </row>
    <row r="16" spans="1:10">
      <c r="A16" s="42">
        <v>43270.727337962962</v>
      </c>
      <c r="B16" s="41" t="s">
        <v>677</v>
      </c>
      <c r="C16" s="41" t="s">
        <v>697</v>
      </c>
      <c r="D16" s="41" t="s">
        <v>684</v>
      </c>
      <c r="E16" s="41">
        <v>82</v>
      </c>
      <c r="F16" s="41">
        <v>76</v>
      </c>
      <c r="G16" s="41">
        <v>6</v>
      </c>
      <c r="I16" s="41" t="s">
        <v>714</v>
      </c>
    </row>
    <row r="17" spans="1:10">
      <c r="A17" s="42">
        <v>43286.351157407407</v>
      </c>
      <c r="B17" s="41" t="s">
        <v>686</v>
      </c>
      <c r="C17" s="41" t="s">
        <v>715</v>
      </c>
      <c r="D17" s="41" t="s">
        <v>679</v>
      </c>
      <c r="E17" s="41">
        <v>78.400000000000006</v>
      </c>
      <c r="F17" s="41">
        <v>38</v>
      </c>
      <c r="G17" s="41">
        <v>1</v>
      </c>
      <c r="I17" s="41" t="s">
        <v>716</v>
      </c>
      <c r="J17" s="41" t="s">
        <v>717</v>
      </c>
    </row>
    <row r="18" spans="1:10">
      <c r="A18" s="42">
        <v>43298.335324074076</v>
      </c>
      <c r="B18" s="41" t="s">
        <v>686</v>
      </c>
      <c r="C18" s="41" t="s">
        <v>718</v>
      </c>
      <c r="D18" s="41" t="s">
        <v>679</v>
      </c>
      <c r="E18" s="41">
        <v>82.2</v>
      </c>
      <c r="F18" s="41">
        <v>137</v>
      </c>
      <c r="G18" s="41">
        <v>133</v>
      </c>
      <c r="I18" s="41" t="s">
        <v>719</v>
      </c>
    </row>
    <row r="19" spans="1:10">
      <c r="A19" s="42">
        <v>43303.483923611115</v>
      </c>
      <c r="B19" s="41" t="s">
        <v>707</v>
      </c>
      <c r="C19" s="41" t="s">
        <v>720</v>
      </c>
      <c r="D19" s="41" t="s">
        <v>684</v>
      </c>
      <c r="E19" s="41">
        <v>80.599999999999994</v>
      </c>
      <c r="F19" s="41">
        <v>33</v>
      </c>
      <c r="G19" s="41">
        <v>26</v>
      </c>
      <c r="I19" s="41" t="s">
        <v>721</v>
      </c>
      <c r="J19" s="41" t="s">
        <v>722</v>
      </c>
    </row>
    <row r="20" spans="1:10">
      <c r="A20" s="42">
        <v>43318.324733796297</v>
      </c>
      <c r="B20" s="41" t="s">
        <v>677</v>
      </c>
      <c r="C20" s="41" t="s">
        <v>711</v>
      </c>
      <c r="D20" s="41" t="s">
        <v>684</v>
      </c>
      <c r="E20" s="41">
        <v>78</v>
      </c>
      <c r="F20" s="41">
        <v>46</v>
      </c>
      <c r="G20" s="41">
        <v>40</v>
      </c>
      <c r="I20" s="41" t="s">
        <v>723</v>
      </c>
    </row>
    <row r="21" spans="1:10">
      <c r="A21" s="42">
        <v>43333.719004629631</v>
      </c>
      <c r="B21" s="41" t="s">
        <v>686</v>
      </c>
      <c r="C21" s="41" t="s">
        <v>720</v>
      </c>
      <c r="D21" s="41" t="s">
        <v>684</v>
      </c>
      <c r="E21" s="41">
        <v>80.599999999999994</v>
      </c>
      <c r="F21" s="41">
        <v>45</v>
      </c>
      <c r="G21" s="41">
        <v>41</v>
      </c>
      <c r="I21" s="41" t="s">
        <v>724</v>
      </c>
    </row>
    <row r="22" spans="1:10">
      <c r="A22" s="42">
        <v>43350.695868055554</v>
      </c>
      <c r="B22" s="41" t="s">
        <v>682</v>
      </c>
      <c r="C22" s="41" t="s">
        <v>725</v>
      </c>
      <c r="D22" s="41" t="s">
        <v>679</v>
      </c>
      <c r="E22" s="41">
        <v>77.8</v>
      </c>
      <c r="F22" s="41">
        <v>48</v>
      </c>
      <c r="G22" s="41">
        <v>45</v>
      </c>
      <c r="J22" s="41" t="s">
        <v>726</v>
      </c>
    </row>
    <row r="23" spans="1:10">
      <c r="A23" s="42">
        <v>43364.603796296295</v>
      </c>
      <c r="B23" s="41" t="s">
        <v>682</v>
      </c>
      <c r="C23" s="41" t="s">
        <v>727</v>
      </c>
      <c r="D23" s="41" t="s">
        <v>684</v>
      </c>
      <c r="E23" s="41">
        <v>82.46</v>
      </c>
      <c r="F23" s="41">
        <v>57</v>
      </c>
      <c r="G23" s="41">
        <v>51</v>
      </c>
      <c r="I23" s="41" t="s">
        <v>728</v>
      </c>
      <c r="J23" s="41" t="s">
        <v>729</v>
      </c>
    </row>
    <row r="24" spans="1:10">
      <c r="A24" s="42">
        <v>43364.73510416667</v>
      </c>
      <c r="B24" s="41" t="s">
        <v>682</v>
      </c>
      <c r="C24" s="41" t="s">
        <v>678</v>
      </c>
      <c r="D24" s="41" t="s">
        <v>679</v>
      </c>
      <c r="E24" s="41">
        <v>81</v>
      </c>
      <c r="F24" s="41">
        <v>54</v>
      </c>
      <c r="G24" s="41">
        <v>29</v>
      </c>
      <c r="I24" s="41" t="s">
        <v>730</v>
      </c>
      <c r="J24" s="41" t="s">
        <v>731</v>
      </c>
    </row>
    <row r="25" spans="1:10" ht="18.75" customHeight="1">
      <c r="A25" s="42">
        <v>43373.732048611113</v>
      </c>
      <c r="B25" s="41" t="s">
        <v>688</v>
      </c>
      <c r="C25" s="41" t="s">
        <v>678</v>
      </c>
      <c r="D25" s="41" t="s">
        <v>679</v>
      </c>
      <c r="E25" s="41">
        <v>81</v>
      </c>
      <c r="F25" s="41">
        <v>144</v>
      </c>
      <c r="G25" s="41">
        <v>141</v>
      </c>
      <c r="I25" s="41" t="s">
        <v>732</v>
      </c>
      <c r="J25" s="41" t="s">
        <v>733</v>
      </c>
    </row>
    <row r="26" spans="1:10" ht="18.75" customHeight="1">
      <c r="A26" s="42">
        <v>43404.387002314812</v>
      </c>
      <c r="B26" s="41" t="s">
        <v>686</v>
      </c>
      <c r="C26" s="41" t="s">
        <v>734</v>
      </c>
      <c r="D26" s="41" t="s">
        <v>684</v>
      </c>
      <c r="E26" s="41">
        <v>77.900000000000006</v>
      </c>
      <c r="F26" s="41">
        <v>40</v>
      </c>
      <c r="G26" s="41">
        <v>23</v>
      </c>
      <c r="I26" s="41" t="s">
        <v>735</v>
      </c>
      <c r="J26" s="41" t="s">
        <v>736</v>
      </c>
    </row>
    <row r="27" spans="1:10" ht="18.75" customHeight="1">
      <c r="A27" s="42">
        <v>43425.657349537039</v>
      </c>
      <c r="B27" s="41" t="s">
        <v>737</v>
      </c>
      <c r="C27" s="41" t="s">
        <v>738</v>
      </c>
      <c r="D27" s="41" t="s">
        <v>679</v>
      </c>
      <c r="E27" s="41">
        <v>81.2</v>
      </c>
      <c r="F27" s="41">
        <v>31</v>
      </c>
      <c r="G27" s="41">
        <v>1</v>
      </c>
      <c r="I27" s="41" t="s">
        <v>739</v>
      </c>
    </row>
    <row r="28" spans="1:10" ht="18.75" customHeight="1">
      <c r="A28" s="42">
        <v>43430.631944444445</v>
      </c>
      <c r="B28" s="41" t="s">
        <v>737</v>
      </c>
      <c r="C28" s="41" t="s">
        <v>727</v>
      </c>
      <c r="D28" s="41" t="s">
        <v>684</v>
      </c>
      <c r="E28" s="41">
        <v>82.46</v>
      </c>
      <c r="F28" s="41">
        <v>55</v>
      </c>
      <c r="G28" s="41">
        <v>17</v>
      </c>
      <c r="I28" s="41" t="s">
        <v>740</v>
      </c>
    </row>
    <row r="29" spans="1:10" ht="18.75" customHeight="1">
      <c r="A29" s="42">
        <v>43447.738263888888</v>
      </c>
      <c r="B29" s="41" t="s">
        <v>707</v>
      </c>
      <c r="C29" s="41" t="s">
        <v>711</v>
      </c>
      <c r="D29" s="41" t="s">
        <v>684</v>
      </c>
      <c r="E29" s="41">
        <v>78</v>
      </c>
      <c r="F29" s="41">
        <v>36</v>
      </c>
      <c r="G29" s="41">
        <v>1</v>
      </c>
      <c r="I29" s="41" t="s">
        <v>741</v>
      </c>
    </row>
    <row r="30" spans="1:10" ht="18.75" customHeight="1">
      <c r="A30" s="42">
        <v>43448.723900462966</v>
      </c>
      <c r="B30" s="41" t="s">
        <v>707</v>
      </c>
      <c r="C30" s="41" t="s">
        <v>711</v>
      </c>
      <c r="D30" s="41" t="s">
        <v>684</v>
      </c>
      <c r="E30" s="41">
        <v>78</v>
      </c>
      <c r="F30" s="41">
        <v>78</v>
      </c>
      <c r="G30" s="41">
        <v>53</v>
      </c>
      <c r="I30" s="41" t="s">
        <v>742</v>
      </c>
    </row>
    <row r="31" spans="1:10" ht="18.75" customHeight="1">
      <c r="A31" s="42">
        <v>43454.334722222222</v>
      </c>
      <c r="B31" s="41" t="s">
        <v>688</v>
      </c>
      <c r="C31" s="41" t="s">
        <v>692</v>
      </c>
      <c r="D31" s="41" t="s">
        <v>684</v>
      </c>
      <c r="E31" s="41">
        <v>80.13</v>
      </c>
      <c r="F31" s="41">
        <v>90</v>
      </c>
      <c r="G31" s="41">
        <v>89</v>
      </c>
      <c r="I31" s="41" t="s">
        <v>743</v>
      </c>
      <c r="J31" s="41" t="s">
        <v>744</v>
      </c>
    </row>
    <row r="32" spans="1:10" ht="18.75" customHeight="1">
      <c r="A32" s="42">
        <v>43507.313240740739</v>
      </c>
      <c r="B32" s="41" t="s">
        <v>707</v>
      </c>
      <c r="C32" s="41" t="s">
        <v>745</v>
      </c>
      <c r="E32" s="41">
        <v>81.8</v>
      </c>
      <c r="F32" s="41">
        <v>86</v>
      </c>
      <c r="G32" s="41">
        <v>84</v>
      </c>
      <c r="H32" s="41">
        <v>2.5099999999999998</v>
      </c>
      <c r="I32" s="41" t="s">
        <v>746</v>
      </c>
    </row>
    <row r="33" spans="1:9" ht="18.75" customHeight="1">
      <c r="A33" s="42">
        <v>43507.604097222225</v>
      </c>
      <c r="B33" s="41" t="s">
        <v>688</v>
      </c>
      <c r="C33" s="41" t="s">
        <v>725</v>
      </c>
      <c r="E33" s="41">
        <v>77.900000000000006</v>
      </c>
      <c r="F33" s="41">
        <v>49</v>
      </c>
      <c r="G33" s="41">
        <v>31</v>
      </c>
      <c r="H33" s="41">
        <v>1.32</v>
      </c>
      <c r="I33" s="41" t="s">
        <v>747</v>
      </c>
    </row>
    <row r="34" spans="1:9" ht="18.75" customHeight="1">
      <c r="A34" s="42">
        <v>43518.535960648151</v>
      </c>
      <c r="B34" s="41" t="s">
        <v>748</v>
      </c>
      <c r="C34" s="41" t="s">
        <v>725</v>
      </c>
      <c r="E34" s="41">
        <v>77.900000000000006</v>
      </c>
      <c r="F34" s="41">
        <v>31</v>
      </c>
      <c r="G34" s="41">
        <v>5</v>
      </c>
      <c r="H34" s="41">
        <v>0.32</v>
      </c>
      <c r="I34" s="41" t="s">
        <v>749</v>
      </c>
    </row>
    <row r="35" spans="1:9" ht="18.75" customHeight="1">
      <c r="A35" s="42">
        <v>43530.631967592592</v>
      </c>
      <c r="B35" s="41" t="s">
        <v>686</v>
      </c>
      <c r="C35" s="41" t="s">
        <v>695</v>
      </c>
      <c r="E35" s="41">
        <v>79</v>
      </c>
      <c r="F35" s="41">
        <v>36</v>
      </c>
      <c r="G35" s="41">
        <v>7</v>
      </c>
      <c r="H35" s="41">
        <v>1.98</v>
      </c>
    </row>
    <row r="36" spans="1:9" ht="18.75" customHeight="1">
      <c r="A36" s="42">
        <v>43557.339097222219</v>
      </c>
      <c r="B36" s="41" t="s">
        <v>688</v>
      </c>
      <c r="C36" s="41" t="s">
        <v>704</v>
      </c>
      <c r="D36" s="41" t="s">
        <v>679</v>
      </c>
      <c r="E36" s="41">
        <v>78.599999999999994</v>
      </c>
      <c r="F36" s="41">
        <v>51</v>
      </c>
      <c r="G36" s="41">
        <v>19</v>
      </c>
      <c r="H36" s="41">
        <v>0</v>
      </c>
      <c r="I36" s="41" t="s">
        <v>750</v>
      </c>
    </row>
    <row r="37" spans="1:9" ht="18.75" customHeight="1">
      <c r="A37" s="42">
        <v>43599.626435185186</v>
      </c>
      <c r="B37" s="41" t="s">
        <v>688</v>
      </c>
      <c r="C37" s="41" t="s">
        <v>751</v>
      </c>
      <c r="D37" s="41" t="s">
        <v>684</v>
      </c>
      <c r="E37" s="41">
        <v>78.599999999999994</v>
      </c>
      <c r="F37" s="41">
        <v>113</v>
      </c>
      <c r="G37" s="41">
        <v>98</v>
      </c>
      <c r="H37" s="41">
        <v>0</v>
      </c>
      <c r="I37" s="41" t="s">
        <v>752</v>
      </c>
    </row>
    <row r="38" spans="1:9" ht="18.75" customHeight="1">
      <c r="A38" s="42">
        <v>43610.708923611113</v>
      </c>
      <c r="B38" s="41" t="s">
        <v>686</v>
      </c>
      <c r="C38" s="41" t="s">
        <v>689</v>
      </c>
      <c r="D38" s="41" t="s">
        <v>679</v>
      </c>
      <c r="E38" s="41">
        <v>78.8</v>
      </c>
      <c r="F38" s="41">
        <v>44</v>
      </c>
      <c r="G38" s="41">
        <v>31</v>
      </c>
      <c r="H38" s="41">
        <v>2.17</v>
      </c>
      <c r="I38" s="41" t="s">
        <v>753</v>
      </c>
    </row>
    <row r="39" spans="1:9" ht="18.75" customHeight="1">
      <c r="A39" s="42">
        <v>43620.691053240742</v>
      </c>
      <c r="B39" s="41" t="s">
        <v>686</v>
      </c>
      <c r="C39" s="41" t="s">
        <v>751</v>
      </c>
      <c r="D39" s="41" t="s">
        <v>684</v>
      </c>
      <c r="E39" s="41">
        <v>78.47</v>
      </c>
      <c r="F39" s="41">
        <v>52</v>
      </c>
      <c r="G39" s="41">
        <v>19</v>
      </c>
      <c r="H39" s="41">
        <v>0</v>
      </c>
      <c r="I39" s="41" t="s">
        <v>754</v>
      </c>
    </row>
    <row r="40" spans="1:9" ht="18.75" customHeight="1">
      <c r="A40" s="42">
        <v>43625.548148148147</v>
      </c>
      <c r="B40" s="41" t="s">
        <v>682</v>
      </c>
      <c r="C40" s="41" t="s">
        <v>755</v>
      </c>
      <c r="D40" s="41" t="s">
        <v>684</v>
      </c>
      <c r="E40" s="41">
        <v>78.400000000000006</v>
      </c>
      <c r="F40" s="41">
        <v>76</v>
      </c>
      <c r="G40" s="41">
        <v>67</v>
      </c>
      <c r="H40" s="41">
        <v>2.38</v>
      </c>
      <c r="I40" s="41" t="s">
        <v>756</v>
      </c>
    </row>
    <row r="41" spans="1:9" ht="18.75" customHeight="1">
      <c r="A41" s="42">
        <v>43632.437013888892</v>
      </c>
      <c r="B41" s="41" t="s">
        <v>677</v>
      </c>
      <c r="C41" s="41" t="s">
        <v>711</v>
      </c>
      <c r="D41" s="41" t="s">
        <v>684</v>
      </c>
      <c r="E41" s="41">
        <v>78</v>
      </c>
      <c r="F41" s="41">
        <v>74</v>
      </c>
      <c r="G41" s="41">
        <v>38</v>
      </c>
      <c r="H41" s="41">
        <v>1.82</v>
      </c>
      <c r="I41" s="41" t="s">
        <v>757</v>
      </c>
    </row>
    <row r="42" spans="1:9" ht="18.75" customHeight="1">
      <c r="A42" s="42">
        <v>43640.719930555555</v>
      </c>
      <c r="B42" s="41" t="s">
        <v>686</v>
      </c>
      <c r="C42" s="41" t="s">
        <v>758</v>
      </c>
      <c r="D42" s="41" t="s">
        <v>684</v>
      </c>
      <c r="E42" s="41">
        <v>77.900000000000006</v>
      </c>
      <c r="F42" s="41">
        <v>44</v>
      </c>
      <c r="G42" s="41">
        <v>17</v>
      </c>
      <c r="H42" s="41">
        <v>0</v>
      </c>
    </row>
    <row r="43" spans="1:9" ht="18.75" customHeight="1">
      <c r="A43" s="42">
        <v>43643.705023148148</v>
      </c>
      <c r="B43" s="41" t="s">
        <v>707</v>
      </c>
      <c r="C43" s="41" t="s">
        <v>711</v>
      </c>
      <c r="D43" s="41" t="s">
        <v>684</v>
      </c>
      <c r="E43" s="41">
        <v>78</v>
      </c>
      <c r="F43" s="41">
        <v>58</v>
      </c>
      <c r="G43" s="41">
        <v>25</v>
      </c>
      <c r="H43" s="41">
        <v>0</v>
      </c>
    </row>
    <row r="44" spans="1:9" ht="18.75" customHeight="1">
      <c r="A44" s="42">
        <v>43652.543310185189</v>
      </c>
      <c r="B44" s="41" t="s">
        <v>686</v>
      </c>
      <c r="C44" s="41" t="s">
        <v>759</v>
      </c>
      <c r="D44" s="41" t="s">
        <v>679</v>
      </c>
      <c r="E44" s="41">
        <v>79.599999999999994</v>
      </c>
      <c r="F44" s="41">
        <v>35</v>
      </c>
      <c r="G44" s="41">
        <v>6</v>
      </c>
      <c r="H44" s="41">
        <v>4.4400000000000004</v>
      </c>
    </row>
    <row r="45" spans="1:9" ht="18.75" customHeight="1">
      <c r="A45" s="42">
        <v>43652.552569444444</v>
      </c>
      <c r="B45" s="41" t="s">
        <v>677</v>
      </c>
      <c r="C45" s="41" t="s">
        <v>760</v>
      </c>
      <c r="D45" s="41" t="s">
        <v>679</v>
      </c>
      <c r="E45" s="41">
        <v>78.900000000000006</v>
      </c>
      <c r="F45" s="41">
        <v>83</v>
      </c>
      <c r="G45" s="41">
        <v>60</v>
      </c>
      <c r="H45" s="41">
        <v>9.14</v>
      </c>
    </row>
    <row r="46" spans="1:9" ht="18.75" customHeight="1">
      <c r="A46" s="42">
        <v>43654.459826388891</v>
      </c>
      <c r="B46" s="41" t="s">
        <v>761</v>
      </c>
      <c r="C46" s="41" t="s">
        <v>727</v>
      </c>
      <c r="D46" s="41" t="s">
        <v>684</v>
      </c>
      <c r="E46" s="41">
        <v>82.46</v>
      </c>
      <c r="F46" s="41">
        <v>33</v>
      </c>
      <c r="G46" s="41">
        <v>21</v>
      </c>
      <c r="H46" s="41">
        <v>2.37</v>
      </c>
      <c r="I46" s="41" t="s">
        <v>762</v>
      </c>
    </row>
    <row r="47" spans="1:9">
      <c r="A47" s="42">
        <v>43657.528657407405</v>
      </c>
      <c r="B47" s="41" t="s">
        <v>682</v>
      </c>
      <c r="C47" s="41" t="s">
        <v>678</v>
      </c>
      <c r="D47" s="41" t="s">
        <v>679</v>
      </c>
      <c r="E47" s="41">
        <v>81</v>
      </c>
      <c r="F47" s="41">
        <v>88</v>
      </c>
      <c r="G47" s="41">
        <v>39</v>
      </c>
      <c r="H47" s="41">
        <v>20.36</v>
      </c>
      <c r="I47" s="41" t="s">
        <v>763</v>
      </c>
    </row>
    <row r="48" spans="1:9">
      <c r="A48" s="42">
        <v>43663.718611111108</v>
      </c>
      <c r="B48" s="41" t="s">
        <v>707</v>
      </c>
      <c r="C48" s="41" t="s">
        <v>764</v>
      </c>
      <c r="D48" s="41" t="s">
        <v>679</v>
      </c>
      <c r="E48" s="41">
        <v>78</v>
      </c>
      <c r="F48" s="41">
        <v>46</v>
      </c>
      <c r="G48" s="41">
        <v>28</v>
      </c>
      <c r="H48" s="41">
        <v>16.04</v>
      </c>
      <c r="I48" s="41" t="s">
        <v>765</v>
      </c>
    </row>
    <row r="49" spans="1:9">
      <c r="A49" s="42">
        <v>43665.619664351849</v>
      </c>
      <c r="B49" s="41" t="s">
        <v>761</v>
      </c>
      <c r="C49" s="41" t="s">
        <v>766</v>
      </c>
      <c r="D49" s="41" t="s">
        <v>679</v>
      </c>
      <c r="E49" s="41">
        <v>77.599999999999994</v>
      </c>
      <c r="F49" s="41">
        <v>208</v>
      </c>
      <c r="G49" s="41">
        <v>199</v>
      </c>
      <c r="H49" s="41">
        <v>24.67</v>
      </c>
      <c r="I49" s="41" t="s">
        <v>767</v>
      </c>
    </row>
    <row r="50" spans="1:9">
      <c r="A50" s="42">
        <v>43665.621828703705</v>
      </c>
      <c r="B50" s="41" t="s">
        <v>768</v>
      </c>
      <c r="C50" s="41" t="s">
        <v>725</v>
      </c>
      <c r="D50" s="41" t="s">
        <v>684</v>
      </c>
      <c r="E50" s="41">
        <v>77.8</v>
      </c>
      <c r="F50" s="41">
        <v>43</v>
      </c>
      <c r="G50" s="41">
        <v>33</v>
      </c>
      <c r="H50" s="41">
        <v>13.96</v>
      </c>
      <c r="I50" s="41" t="s">
        <v>769</v>
      </c>
    </row>
    <row r="51" spans="1:9">
      <c r="A51" s="42">
        <v>43670.657164351855</v>
      </c>
      <c r="B51" s="41" t="s">
        <v>686</v>
      </c>
      <c r="C51" s="41" t="s">
        <v>692</v>
      </c>
      <c r="D51" s="41" t="s">
        <v>684</v>
      </c>
      <c r="E51" s="41">
        <v>80.13</v>
      </c>
      <c r="F51" s="41">
        <v>35</v>
      </c>
      <c r="G51" s="41">
        <v>29</v>
      </c>
      <c r="H51" s="41">
        <v>2.09</v>
      </c>
      <c r="I51" s="41" t="s">
        <v>770</v>
      </c>
    </row>
    <row r="52" spans="1:9">
      <c r="A52" s="42">
        <v>43681.744293981479</v>
      </c>
      <c r="B52" s="41" t="s">
        <v>691</v>
      </c>
      <c r="C52" s="41" t="s">
        <v>771</v>
      </c>
      <c r="D52" s="41" t="s">
        <v>684</v>
      </c>
      <c r="E52" s="41">
        <v>78.8</v>
      </c>
      <c r="F52" s="41">
        <v>30</v>
      </c>
      <c r="G52" s="41">
        <v>18</v>
      </c>
      <c r="H52" s="41">
        <v>2.15</v>
      </c>
    </row>
    <row r="53" spans="1:9">
      <c r="A53" s="42">
        <v>43685.277685185189</v>
      </c>
      <c r="B53" s="41" t="s">
        <v>682</v>
      </c>
      <c r="C53" s="41" t="s">
        <v>772</v>
      </c>
      <c r="D53" s="41" t="s">
        <v>679</v>
      </c>
      <c r="E53" s="41">
        <v>79.400000000000006</v>
      </c>
      <c r="F53" s="41">
        <v>35</v>
      </c>
      <c r="G53" s="41">
        <v>34</v>
      </c>
      <c r="H53" s="41">
        <v>11.88</v>
      </c>
      <c r="I53" s="41" t="s">
        <v>773</v>
      </c>
    </row>
    <row r="54" spans="1:9">
      <c r="A54" s="42">
        <v>43712.550555555557</v>
      </c>
      <c r="B54" s="41" t="s">
        <v>774</v>
      </c>
      <c r="C54" s="41" t="s">
        <v>775</v>
      </c>
      <c r="D54" s="41" t="s">
        <v>684</v>
      </c>
      <c r="E54" s="41">
        <v>77.900000000000006</v>
      </c>
      <c r="F54" s="41">
        <v>51</v>
      </c>
      <c r="G54" s="41">
        <v>46</v>
      </c>
      <c r="H54" s="41">
        <v>2.14</v>
      </c>
    </row>
    <row r="55" spans="1:9">
      <c r="A55" s="42">
        <v>43713.326944444445</v>
      </c>
      <c r="B55" s="41" t="s">
        <v>682</v>
      </c>
      <c r="C55" s="41" t="s">
        <v>759</v>
      </c>
      <c r="D55" s="41" t="s">
        <v>679</v>
      </c>
      <c r="E55" s="41">
        <v>79.599999999999994</v>
      </c>
      <c r="F55" s="41">
        <v>46</v>
      </c>
      <c r="G55" s="41">
        <v>22</v>
      </c>
      <c r="H55" s="41">
        <v>9.5299999999999994</v>
      </c>
      <c r="I55" s="41" t="s">
        <v>776</v>
      </c>
    </row>
    <row r="56" spans="1:9">
      <c r="A56" s="42">
        <v>43738.028854166667</v>
      </c>
      <c r="B56" s="41" t="s">
        <v>682</v>
      </c>
      <c r="C56" s="41" t="s">
        <v>777</v>
      </c>
      <c r="D56" s="41" t="s">
        <v>684</v>
      </c>
      <c r="E56" s="41">
        <v>77.8</v>
      </c>
      <c r="F56" s="41">
        <v>71</v>
      </c>
      <c r="G56" s="41">
        <v>71</v>
      </c>
      <c r="H56" s="41">
        <v>2.19</v>
      </c>
      <c r="I56" s="41" t="s">
        <v>778</v>
      </c>
    </row>
    <row r="57" spans="1:9">
      <c r="A57" s="42">
        <v>43739.968055555553</v>
      </c>
      <c r="B57" s="41" t="s">
        <v>688</v>
      </c>
      <c r="C57" s="41" t="s">
        <v>777</v>
      </c>
      <c r="D57" s="41" t="s">
        <v>684</v>
      </c>
      <c r="E57" s="41">
        <v>77.8</v>
      </c>
      <c r="F57" s="41">
        <v>220</v>
      </c>
      <c r="G57" s="41">
        <v>219</v>
      </c>
      <c r="H57" s="41">
        <v>2.41</v>
      </c>
      <c r="I57" s="41" t="s">
        <v>779</v>
      </c>
    </row>
    <row r="58" spans="1:9">
      <c r="A58" s="42">
        <v>43742.314004629632</v>
      </c>
      <c r="B58" s="41" t="s">
        <v>686</v>
      </c>
      <c r="C58" s="41" t="s">
        <v>780</v>
      </c>
      <c r="D58" s="41" t="s">
        <v>684</v>
      </c>
      <c r="E58" s="41">
        <v>80.59</v>
      </c>
      <c r="F58" s="41">
        <v>67</v>
      </c>
      <c r="G58" s="41">
        <v>39</v>
      </c>
      <c r="H58" s="41">
        <v>1.62</v>
      </c>
      <c r="I58" s="41" t="s">
        <v>781</v>
      </c>
    </row>
    <row r="59" spans="1:9">
      <c r="A59" s="42">
        <v>43758.475949074076</v>
      </c>
      <c r="B59" s="41" t="s">
        <v>707</v>
      </c>
      <c r="C59" s="41" t="s">
        <v>758</v>
      </c>
      <c r="D59" s="41" t="s">
        <v>684</v>
      </c>
      <c r="E59" s="41">
        <v>77.900000000000006</v>
      </c>
      <c r="F59" s="41">
        <v>56</v>
      </c>
      <c r="G59" s="41">
        <v>26</v>
      </c>
      <c r="H59" s="41">
        <v>2.85</v>
      </c>
      <c r="I59" s="41" t="s">
        <v>782</v>
      </c>
    </row>
    <row r="60" spans="1:9">
      <c r="A60" s="42">
        <v>43762.54550925926</v>
      </c>
      <c r="B60" s="41" t="s">
        <v>682</v>
      </c>
      <c r="C60" s="41" t="s">
        <v>783</v>
      </c>
      <c r="D60" s="41" t="s">
        <v>679</v>
      </c>
      <c r="E60" s="41">
        <v>78</v>
      </c>
      <c r="F60" s="41">
        <v>56</v>
      </c>
      <c r="G60" s="41">
        <v>15</v>
      </c>
      <c r="H60" s="41">
        <v>2.2799999999999998</v>
      </c>
    </row>
    <row r="61" spans="1:9">
      <c r="A61" s="42">
        <v>43764.386504629627</v>
      </c>
      <c r="B61" s="41" t="s">
        <v>677</v>
      </c>
      <c r="C61" s="41" t="s">
        <v>780</v>
      </c>
      <c r="D61" s="41" t="s">
        <v>679</v>
      </c>
      <c r="E61" s="41">
        <v>80.2</v>
      </c>
      <c r="F61" s="41">
        <v>36</v>
      </c>
      <c r="G61" s="41">
        <v>19</v>
      </c>
      <c r="H61" s="41">
        <v>2.2599999999999998</v>
      </c>
    </row>
    <row r="62" spans="1:9">
      <c r="A62" s="42">
        <v>43766.201342592591</v>
      </c>
      <c r="B62" s="41" t="s">
        <v>688</v>
      </c>
      <c r="C62" s="41" t="s">
        <v>784</v>
      </c>
      <c r="D62" s="41" t="s">
        <v>679</v>
      </c>
      <c r="E62" s="41">
        <v>77.599999999999994</v>
      </c>
      <c r="F62" s="41">
        <v>44</v>
      </c>
      <c r="G62" s="41">
        <v>43</v>
      </c>
      <c r="H62" s="41">
        <v>4.0999999999999996</v>
      </c>
      <c r="I62" s="41" t="s">
        <v>785</v>
      </c>
    </row>
    <row r="63" spans="1:9">
      <c r="A63" s="42">
        <v>43771.941666666666</v>
      </c>
      <c r="B63" s="41" t="s">
        <v>737</v>
      </c>
      <c r="C63" s="41" t="s">
        <v>784</v>
      </c>
      <c r="D63" s="41" t="s">
        <v>679</v>
      </c>
      <c r="E63" s="41">
        <v>77.599999999999994</v>
      </c>
      <c r="F63" s="41">
        <v>60</v>
      </c>
      <c r="G63" s="41">
        <v>44</v>
      </c>
      <c r="H63" s="41">
        <v>2.85</v>
      </c>
    </row>
    <row r="64" spans="1:9">
      <c r="A64" s="42">
        <v>43771.941666666666</v>
      </c>
      <c r="B64" s="41" t="s">
        <v>737</v>
      </c>
      <c r="C64" s="41" t="s">
        <v>777</v>
      </c>
      <c r="D64" s="41" t="s">
        <v>684</v>
      </c>
      <c r="E64" s="41">
        <v>77.8</v>
      </c>
      <c r="F64" s="41">
        <v>44</v>
      </c>
      <c r="G64" s="41">
        <v>44</v>
      </c>
      <c r="H64" s="41">
        <v>7.25</v>
      </c>
    </row>
    <row r="65" spans="1:9">
      <c r="A65" s="42">
        <v>43778.282349537039</v>
      </c>
      <c r="B65" s="41" t="s">
        <v>786</v>
      </c>
      <c r="C65" s="41" t="s">
        <v>771</v>
      </c>
      <c r="D65" s="41" t="s">
        <v>684</v>
      </c>
      <c r="E65" s="41">
        <v>78.8</v>
      </c>
      <c r="F65" s="41">
        <v>166</v>
      </c>
      <c r="G65" s="41">
        <v>127</v>
      </c>
      <c r="H65" s="41">
        <v>14.34</v>
      </c>
      <c r="I65" s="41" t="s">
        <v>787</v>
      </c>
    </row>
    <row r="66" spans="1:9">
      <c r="A66" s="42">
        <v>43811.722627314812</v>
      </c>
      <c r="B66" s="41" t="s">
        <v>707</v>
      </c>
      <c r="C66" s="41" t="s">
        <v>697</v>
      </c>
      <c r="D66" s="41" t="s">
        <v>684</v>
      </c>
      <c r="E66" s="41">
        <v>82</v>
      </c>
      <c r="F66" s="41">
        <v>76</v>
      </c>
      <c r="G66" s="41">
        <v>73</v>
      </c>
      <c r="H66" s="41">
        <v>1.65</v>
      </c>
    </row>
    <row r="67" spans="1:9">
      <c r="A67" s="42">
        <v>43817.63521990741</v>
      </c>
      <c r="B67" s="41" t="s">
        <v>682</v>
      </c>
      <c r="C67" s="41" t="s">
        <v>788</v>
      </c>
      <c r="D67" s="41" t="s">
        <v>684</v>
      </c>
      <c r="E67" s="41">
        <v>79.8</v>
      </c>
      <c r="F67" s="41">
        <v>37</v>
      </c>
      <c r="G67" s="41">
        <v>35</v>
      </c>
      <c r="H67" s="41">
        <v>16.170000000000002</v>
      </c>
      <c r="I67" s="41" t="s">
        <v>789</v>
      </c>
    </row>
    <row r="68" spans="1:9">
      <c r="A68" s="42">
        <v>43817.681250000001</v>
      </c>
      <c r="B68" s="41" t="s">
        <v>707</v>
      </c>
      <c r="C68" s="41" t="s">
        <v>711</v>
      </c>
      <c r="D68" s="41" t="s">
        <v>684</v>
      </c>
      <c r="E68" s="41">
        <v>78</v>
      </c>
      <c r="F68" s="41">
        <v>58</v>
      </c>
      <c r="G68" s="41">
        <v>33</v>
      </c>
      <c r="H68" s="41">
        <v>6.38</v>
      </c>
    </row>
    <row r="69" spans="1:9">
      <c r="A69" s="42">
        <v>43832.480752314812</v>
      </c>
      <c r="B69" s="41" t="s">
        <v>737</v>
      </c>
      <c r="C69" s="41" t="s">
        <v>709</v>
      </c>
      <c r="D69" s="41" t="s">
        <v>679</v>
      </c>
      <c r="E69" s="41">
        <v>79</v>
      </c>
      <c r="F69" s="41">
        <v>37</v>
      </c>
      <c r="G69" s="41">
        <v>33</v>
      </c>
      <c r="H69" s="41">
        <v>2.19</v>
      </c>
      <c r="I69" s="41" t="s">
        <v>790</v>
      </c>
    </row>
    <row r="70" spans="1:9">
      <c r="A70" s="42">
        <v>43834.638622685183</v>
      </c>
      <c r="B70" s="41" t="s">
        <v>688</v>
      </c>
      <c r="C70" s="41" t="s">
        <v>780</v>
      </c>
      <c r="D70" s="41" t="s">
        <v>684</v>
      </c>
      <c r="E70" s="41">
        <v>80.59</v>
      </c>
      <c r="F70" s="41">
        <v>52</v>
      </c>
      <c r="G70" s="41">
        <v>18</v>
      </c>
      <c r="H70" s="41">
        <v>1.62</v>
      </c>
      <c r="I70" s="41" t="s">
        <v>791</v>
      </c>
    </row>
    <row r="71" spans="1:9">
      <c r="A71" s="42">
        <v>43862.714583333334</v>
      </c>
      <c r="B71" s="41" t="s">
        <v>691</v>
      </c>
      <c r="C71" s="41" t="s">
        <v>738</v>
      </c>
      <c r="D71" s="41" t="s">
        <v>679</v>
      </c>
      <c r="E71" s="41">
        <v>81.2</v>
      </c>
      <c r="F71" s="41">
        <v>31</v>
      </c>
      <c r="G71" s="41">
        <v>11</v>
      </c>
      <c r="H71" s="41">
        <v>4.7300000000000004</v>
      </c>
      <c r="I71" s="41" t="s">
        <v>792</v>
      </c>
    </row>
    <row r="72" spans="1:9">
      <c r="A72" s="42">
        <v>43917.444571759261</v>
      </c>
      <c r="B72" s="41" t="s">
        <v>677</v>
      </c>
      <c r="C72" s="41" t="s">
        <v>793</v>
      </c>
      <c r="D72" s="41" t="s">
        <v>684</v>
      </c>
      <c r="E72" s="41">
        <v>82.1</v>
      </c>
      <c r="F72" s="41">
        <v>69</v>
      </c>
      <c r="G72" s="41">
        <v>37</v>
      </c>
      <c r="H72" s="41">
        <v>3.14</v>
      </c>
      <c r="I72" s="41" t="s">
        <v>794</v>
      </c>
    </row>
    <row r="73" spans="1:9">
      <c r="A73" s="42">
        <v>43920.431319444448</v>
      </c>
      <c r="B73" s="41" t="s">
        <v>761</v>
      </c>
      <c r="C73" s="41" t="s">
        <v>795</v>
      </c>
      <c r="D73" s="41" t="s">
        <v>679</v>
      </c>
      <c r="E73" s="41">
        <v>80.2</v>
      </c>
      <c r="F73" s="41">
        <v>62</v>
      </c>
      <c r="G73" s="41">
        <v>56</v>
      </c>
      <c r="H73" s="41">
        <v>16.05</v>
      </c>
      <c r="I73" s="41" t="s">
        <v>796</v>
      </c>
    </row>
    <row r="74" spans="1:9">
      <c r="A74" s="42">
        <v>43923.305717592593</v>
      </c>
      <c r="B74" s="41" t="s">
        <v>682</v>
      </c>
      <c r="C74" s="41" t="s">
        <v>783</v>
      </c>
      <c r="D74" s="41" t="s">
        <v>679</v>
      </c>
      <c r="E74" s="41">
        <v>78</v>
      </c>
      <c r="F74" s="41">
        <v>89</v>
      </c>
      <c r="G74" s="41">
        <v>72</v>
      </c>
      <c r="H74" s="41">
        <v>2.08</v>
      </c>
      <c r="I74" s="41" t="s">
        <v>797</v>
      </c>
    </row>
    <row r="75" spans="1:9">
      <c r="A75" s="42">
        <v>43925.36377314815</v>
      </c>
      <c r="B75" s="41" t="s">
        <v>677</v>
      </c>
      <c r="C75" s="41" t="s">
        <v>697</v>
      </c>
      <c r="D75" s="41" t="s">
        <v>684</v>
      </c>
      <c r="E75" s="41">
        <v>82</v>
      </c>
      <c r="F75" s="41">
        <v>63</v>
      </c>
      <c r="G75" s="41">
        <v>49</v>
      </c>
      <c r="H75" s="41">
        <v>1.63</v>
      </c>
      <c r="I75" s="41" t="s">
        <v>798</v>
      </c>
    </row>
    <row r="76" spans="1:9">
      <c r="A76" s="42">
        <v>43952.954479166663</v>
      </c>
      <c r="B76" s="41" t="s">
        <v>686</v>
      </c>
      <c r="C76" s="41" t="s">
        <v>771</v>
      </c>
      <c r="D76" s="41" t="s">
        <v>684</v>
      </c>
      <c r="E76" s="41">
        <v>78.8</v>
      </c>
      <c r="F76" s="41">
        <v>46</v>
      </c>
      <c r="G76" s="41">
        <v>38</v>
      </c>
      <c r="H76" s="41">
        <v>2.2400000000000002</v>
      </c>
      <c r="I76" s="41" t="s">
        <v>799</v>
      </c>
    </row>
    <row r="77" spans="1:9">
      <c r="A77" s="42">
        <v>43956.339872685188</v>
      </c>
      <c r="B77" s="41" t="s">
        <v>748</v>
      </c>
      <c r="C77" s="41" t="s">
        <v>751</v>
      </c>
      <c r="D77" s="41" t="s">
        <v>684</v>
      </c>
      <c r="E77" s="41">
        <v>78.599999999999994</v>
      </c>
      <c r="F77" s="41">
        <v>85</v>
      </c>
      <c r="G77" s="41">
        <v>85</v>
      </c>
      <c r="H77" s="41">
        <v>2.13</v>
      </c>
    </row>
    <row r="78" spans="1:9">
      <c r="A78" s="42">
        <v>43976.585856481484</v>
      </c>
      <c r="B78" s="41" t="s">
        <v>786</v>
      </c>
      <c r="C78" s="41" t="s">
        <v>711</v>
      </c>
      <c r="D78" s="41" t="s">
        <v>684</v>
      </c>
      <c r="E78" s="41">
        <v>78</v>
      </c>
      <c r="F78" s="41">
        <v>238</v>
      </c>
      <c r="G78" s="41">
        <v>225</v>
      </c>
      <c r="H78" s="41">
        <v>7.37</v>
      </c>
      <c r="I78" s="41" t="s">
        <v>800</v>
      </c>
    </row>
    <row r="79" spans="1:9">
      <c r="A79" s="42">
        <v>43987.639756944445</v>
      </c>
      <c r="B79" s="41" t="s">
        <v>677</v>
      </c>
      <c r="C79" s="41" t="s">
        <v>801</v>
      </c>
      <c r="D79" s="41" t="s">
        <v>684</v>
      </c>
      <c r="E79" s="41">
        <v>80.8</v>
      </c>
      <c r="F79" s="41">
        <v>72</v>
      </c>
      <c r="G79" s="41">
        <v>69</v>
      </c>
      <c r="H79" s="41">
        <v>4.33</v>
      </c>
      <c r="I79" s="41" t="s">
        <v>802</v>
      </c>
    </row>
    <row r="80" spans="1:9">
      <c r="A80" s="42">
        <v>43987.673738425925</v>
      </c>
      <c r="B80" s="41" t="s">
        <v>677</v>
      </c>
      <c r="C80" s="41" t="s">
        <v>803</v>
      </c>
      <c r="D80" s="41" t="s">
        <v>684</v>
      </c>
      <c r="E80" s="41">
        <v>79.8</v>
      </c>
      <c r="F80" s="41">
        <v>96</v>
      </c>
      <c r="G80" s="41">
        <v>89</v>
      </c>
      <c r="H80" s="41">
        <v>2.6</v>
      </c>
    </row>
    <row r="81" spans="1:9">
      <c r="A81" s="42">
        <v>43998.278622685182</v>
      </c>
      <c r="B81" s="41" t="s">
        <v>707</v>
      </c>
      <c r="C81" s="41" t="s">
        <v>804</v>
      </c>
      <c r="D81" s="41" t="s">
        <v>684</v>
      </c>
      <c r="E81" s="41">
        <v>80.59</v>
      </c>
      <c r="F81" s="41">
        <v>84</v>
      </c>
      <c r="G81" s="41">
        <v>78</v>
      </c>
      <c r="H81" s="41">
        <v>5.32</v>
      </c>
      <c r="I81" s="41" t="s">
        <v>805</v>
      </c>
    </row>
    <row r="82" spans="1:9">
      <c r="A82" s="42">
        <v>43999.76971064815</v>
      </c>
      <c r="B82" s="41" t="s">
        <v>682</v>
      </c>
      <c r="C82" s="41" t="s">
        <v>755</v>
      </c>
      <c r="D82" s="41" t="s">
        <v>684</v>
      </c>
      <c r="E82" s="41">
        <v>78.400000000000006</v>
      </c>
      <c r="F82" s="41">
        <v>78</v>
      </c>
      <c r="G82" s="41">
        <v>29</v>
      </c>
      <c r="H82" s="41">
        <v>11.64</v>
      </c>
      <c r="I82" s="41" t="s">
        <v>806</v>
      </c>
    </row>
    <row r="83" spans="1:9">
      <c r="A83" s="42">
        <v>44001.707129629627</v>
      </c>
      <c r="B83" s="41" t="s">
        <v>677</v>
      </c>
      <c r="C83" s="41" t="s">
        <v>807</v>
      </c>
      <c r="D83" s="41" t="s">
        <v>684</v>
      </c>
      <c r="E83" s="41">
        <v>78.2</v>
      </c>
      <c r="F83" s="41">
        <v>103</v>
      </c>
      <c r="G83" s="41">
        <v>82</v>
      </c>
      <c r="H83" s="41">
        <v>14.77</v>
      </c>
      <c r="I83" s="41" t="s">
        <v>808</v>
      </c>
    </row>
    <row r="84" spans="1:9">
      <c r="A84" s="42">
        <v>44001.769884259258</v>
      </c>
      <c r="B84" s="41" t="s">
        <v>682</v>
      </c>
      <c r="C84" s="41" t="s">
        <v>801</v>
      </c>
      <c r="D84" s="41" t="s">
        <v>684</v>
      </c>
      <c r="E84" s="41">
        <v>80.69</v>
      </c>
      <c r="F84" s="41">
        <v>730</v>
      </c>
      <c r="G84" s="41">
        <v>198</v>
      </c>
      <c r="H84" s="41">
        <v>11.31</v>
      </c>
      <c r="I84" s="41" t="s">
        <v>809</v>
      </c>
    </row>
    <row r="85" spans="1:9">
      <c r="A85" s="42">
        <v>44003.824999999997</v>
      </c>
      <c r="B85" s="41" t="s">
        <v>688</v>
      </c>
      <c r="C85" s="41" t="s">
        <v>755</v>
      </c>
      <c r="D85" s="41" t="s">
        <v>684</v>
      </c>
      <c r="E85" s="41">
        <v>78.400000000000006</v>
      </c>
      <c r="F85" s="41">
        <v>175</v>
      </c>
      <c r="G85" s="41">
        <v>175</v>
      </c>
      <c r="H85" s="41">
        <v>6.26</v>
      </c>
      <c r="I85" s="41" t="s">
        <v>810</v>
      </c>
    </row>
    <row r="86" spans="1:9">
      <c r="A86" s="42">
        <v>44009.110833333332</v>
      </c>
      <c r="B86" s="41" t="s">
        <v>688</v>
      </c>
      <c r="C86" s="41" t="s">
        <v>695</v>
      </c>
      <c r="D86" s="41" t="s">
        <v>684</v>
      </c>
      <c r="E86" s="41">
        <v>79</v>
      </c>
      <c r="F86" s="41">
        <v>336</v>
      </c>
      <c r="G86" s="41">
        <v>329</v>
      </c>
      <c r="H86" s="41">
        <v>12.94</v>
      </c>
      <c r="I86" s="41" t="s">
        <v>811</v>
      </c>
    </row>
    <row r="87" spans="1:9">
      <c r="A87" s="42">
        <v>44012.620289351849</v>
      </c>
      <c r="B87" s="41" t="s">
        <v>707</v>
      </c>
      <c r="C87" s="41" t="s">
        <v>711</v>
      </c>
      <c r="D87" s="41" t="s">
        <v>684</v>
      </c>
      <c r="E87" s="41">
        <v>78</v>
      </c>
      <c r="F87" s="41">
        <v>91</v>
      </c>
      <c r="G87" s="41">
        <v>75</v>
      </c>
      <c r="H87" s="41">
        <v>13.01</v>
      </c>
      <c r="I87" s="41" t="s">
        <v>812</v>
      </c>
    </row>
    <row r="88" spans="1:9">
      <c r="A88" s="42">
        <v>44015.4059837963</v>
      </c>
      <c r="B88" s="41" t="s">
        <v>688</v>
      </c>
      <c r="C88" s="41" t="s">
        <v>718</v>
      </c>
      <c r="D88" s="41" t="s">
        <v>679</v>
      </c>
      <c r="E88" s="41">
        <v>82.2</v>
      </c>
      <c r="F88" s="41">
        <v>49</v>
      </c>
      <c r="G88" s="41">
        <v>15</v>
      </c>
      <c r="H88" s="41">
        <v>0.34</v>
      </c>
    </row>
    <row r="89" spans="1:9">
      <c r="A89" s="42">
        <v>44028.447581018518</v>
      </c>
      <c r="B89" s="41" t="s">
        <v>682</v>
      </c>
      <c r="C89" s="41" t="s">
        <v>683</v>
      </c>
      <c r="D89" s="41" t="s">
        <v>684</v>
      </c>
      <c r="E89" s="41">
        <v>79.2</v>
      </c>
      <c r="F89" s="41">
        <v>121</v>
      </c>
      <c r="G89" s="41">
        <v>103</v>
      </c>
      <c r="H89" s="41">
        <v>3.25</v>
      </c>
      <c r="I89" s="41" t="s">
        <v>813</v>
      </c>
    </row>
    <row r="90" spans="1:9">
      <c r="A90" s="42">
        <v>44028.900625000002</v>
      </c>
      <c r="B90" s="41" t="s">
        <v>737</v>
      </c>
      <c r="C90" s="41" t="s">
        <v>683</v>
      </c>
      <c r="D90" s="41" t="s">
        <v>684</v>
      </c>
      <c r="E90" s="41">
        <v>79.2</v>
      </c>
      <c r="F90" s="41">
        <v>297</v>
      </c>
      <c r="G90" s="41">
        <v>296</v>
      </c>
      <c r="H90" s="41">
        <v>3.36</v>
      </c>
      <c r="I90" s="41" t="s">
        <v>814</v>
      </c>
    </row>
    <row r="91" spans="1:9">
      <c r="A91" s="42">
        <v>44028.925787037035</v>
      </c>
      <c r="B91" s="41" t="s">
        <v>815</v>
      </c>
      <c r="C91" s="41" t="s">
        <v>816</v>
      </c>
      <c r="D91" s="41" t="s">
        <v>679</v>
      </c>
      <c r="E91" s="41">
        <v>79.2</v>
      </c>
      <c r="F91" s="41">
        <v>275</v>
      </c>
      <c r="G91" s="41">
        <v>275</v>
      </c>
      <c r="H91" s="41">
        <v>0.35</v>
      </c>
      <c r="I91" s="41" t="s">
        <v>817</v>
      </c>
    </row>
    <row r="92" spans="1:9">
      <c r="A92" s="42">
        <v>44038.831377314818</v>
      </c>
      <c r="B92" s="41" t="s">
        <v>682</v>
      </c>
      <c r="C92" s="41" t="s">
        <v>704</v>
      </c>
      <c r="D92" s="41" t="s">
        <v>679</v>
      </c>
      <c r="E92" s="41">
        <v>78.599999999999994</v>
      </c>
      <c r="F92" s="41">
        <v>87</v>
      </c>
      <c r="G92" s="41">
        <v>87</v>
      </c>
      <c r="H92" s="41">
        <v>0.47</v>
      </c>
      <c r="I92" s="41" t="s">
        <v>818</v>
      </c>
    </row>
    <row r="93" spans="1:9">
      <c r="A93" s="42">
        <v>44049.727685185186</v>
      </c>
      <c r="B93" s="41" t="s">
        <v>677</v>
      </c>
      <c r="C93" s="41" t="s">
        <v>711</v>
      </c>
      <c r="D93" s="41" t="s">
        <v>684</v>
      </c>
      <c r="E93" s="41">
        <v>78</v>
      </c>
      <c r="F93" s="41">
        <v>96</v>
      </c>
      <c r="G93" s="41">
        <v>52</v>
      </c>
      <c r="H93" s="41">
        <v>14.53</v>
      </c>
    </row>
    <row r="94" spans="1:9">
      <c r="A94" s="42">
        <v>44062.555358796293</v>
      </c>
      <c r="B94" s="41" t="s">
        <v>761</v>
      </c>
      <c r="C94" s="41" t="s">
        <v>819</v>
      </c>
      <c r="D94" s="41" t="s">
        <v>684</v>
      </c>
      <c r="E94" s="41">
        <v>80.400000000000006</v>
      </c>
      <c r="F94" s="41">
        <v>74</v>
      </c>
      <c r="G94" s="41">
        <v>61</v>
      </c>
      <c r="H94" s="41">
        <v>4.2300000000000004</v>
      </c>
    </row>
    <row r="95" spans="1:9">
      <c r="A95" s="42">
        <v>44063.580081018517</v>
      </c>
      <c r="B95" s="41" t="s">
        <v>737</v>
      </c>
      <c r="C95" s="41" t="s">
        <v>820</v>
      </c>
      <c r="D95" s="41" t="s">
        <v>684</v>
      </c>
      <c r="E95" s="41">
        <v>79</v>
      </c>
      <c r="F95" s="41">
        <v>30</v>
      </c>
      <c r="G95" s="41">
        <v>3</v>
      </c>
      <c r="H95" s="41">
        <v>2.68</v>
      </c>
    </row>
    <row r="96" spans="1:9">
      <c r="A96" s="42">
        <v>44063.67083333333</v>
      </c>
      <c r="B96" s="41" t="s">
        <v>707</v>
      </c>
      <c r="C96" s="41" t="s">
        <v>783</v>
      </c>
      <c r="D96" s="41" t="s">
        <v>679</v>
      </c>
      <c r="E96" s="41">
        <v>78</v>
      </c>
      <c r="F96" s="41">
        <v>82</v>
      </c>
      <c r="G96" s="41">
        <v>69</v>
      </c>
      <c r="H96" s="41">
        <v>3.96</v>
      </c>
    </row>
    <row r="97" spans="1:10">
      <c r="A97" s="42">
        <v>44074.562465277777</v>
      </c>
      <c r="B97" s="41" t="s">
        <v>707</v>
      </c>
      <c r="C97" s="41" t="s">
        <v>751</v>
      </c>
      <c r="D97" s="41" t="s">
        <v>684</v>
      </c>
      <c r="E97" s="41">
        <v>78.599999999999994</v>
      </c>
      <c r="F97" s="41">
        <v>358</v>
      </c>
      <c r="G97" s="41">
        <v>354</v>
      </c>
      <c r="H97" s="41">
        <v>0.34</v>
      </c>
      <c r="I97" s="41" t="s">
        <v>821</v>
      </c>
    </row>
    <row r="98" spans="1:10">
      <c r="A98" s="42">
        <v>44076.679305555554</v>
      </c>
      <c r="B98" s="41" t="s">
        <v>707</v>
      </c>
      <c r="C98" s="41" t="s">
        <v>807</v>
      </c>
      <c r="D98" s="41" t="s">
        <v>684</v>
      </c>
      <c r="E98" s="41">
        <v>78.2</v>
      </c>
      <c r="F98" s="41">
        <v>72</v>
      </c>
      <c r="G98" s="41">
        <v>13</v>
      </c>
      <c r="H98" s="41">
        <v>2.09</v>
      </c>
    </row>
    <row r="99" spans="1:10">
      <c r="A99" s="42">
        <v>44082.813854166663</v>
      </c>
      <c r="B99" s="41" t="s">
        <v>682</v>
      </c>
      <c r="C99" s="41" t="s">
        <v>822</v>
      </c>
      <c r="D99" s="41" t="s">
        <v>679</v>
      </c>
      <c r="E99" s="41">
        <v>81.8</v>
      </c>
      <c r="F99" s="41">
        <v>39</v>
      </c>
      <c r="G99" s="41">
        <v>38</v>
      </c>
      <c r="H99" s="41">
        <v>3.39</v>
      </c>
    </row>
    <row r="100" spans="1:10">
      <c r="A100" s="42">
        <v>44083.926388888889</v>
      </c>
      <c r="B100" s="41" t="s">
        <v>682</v>
      </c>
      <c r="C100" s="41" t="s">
        <v>823</v>
      </c>
      <c r="D100" s="41" t="s">
        <v>684</v>
      </c>
      <c r="E100" s="41">
        <v>79.599999999999994</v>
      </c>
      <c r="F100" s="41">
        <v>462</v>
      </c>
      <c r="G100" s="41">
        <v>460</v>
      </c>
      <c r="H100" s="41">
        <v>0.32</v>
      </c>
      <c r="I100" s="41" t="s">
        <v>824</v>
      </c>
    </row>
    <row r="101" spans="1:10">
      <c r="A101" s="42">
        <v>44159.682638888888</v>
      </c>
      <c r="B101" s="41" t="s">
        <v>682</v>
      </c>
      <c r="C101" s="41" t="s">
        <v>780</v>
      </c>
      <c r="D101" s="41" t="s">
        <v>679</v>
      </c>
      <c r="E101" s="41">
        <v>80.2</v>
      </c>
      <c r="F101" s="41">
        <v>52</v>
      </c>
      <c r="G101" s="41">
        <v>40</v>
      </c>
      <c r="H101" s="41">
        <v>0.1</v>
      </c>
    </row>
    <row r="102" spans="1:10">
      <c r="A102" s="42">
        <v>44164.456250000003</v>
      </c>
      <c r="B102" s="41" t="s">
        <v>677</v>
      </c>
      <c r="C102" s="41" t="s">
        <v>807</v>
      </c>
      <c r="D102" s="41" t="s">
        <v>684</v>
      </c>
      <c r="E102" s="41">
        <v>78.2</v>
      </c>
      <c r="F102" s="41">
        <v>70</v>
      </c>
      <c r="G102" s="41">
        <v>59</v>
      </c>
      <c r="H102" s="41">
        <v>0.33</v>
      </c>
      <c r="I102" s="41" t="s">
        <v>825</v>
      </c>
    </row>
    <row r="103" spans="1:10">
      <c r="A103" s="42">
        <v>44226.971944444442</v>
      </c>
      <c r="B103" s="41" t="s">
        <v>707</v>
      </c>
      <c r="C103" s="41" t="s">
        <v>804</v>
      </c>
      <c r="D103" s="41" t="s">
        <v>684</v>
      </c>
      <c r="E103" s="41">
        <v>80.59</v>
      </c>
      <c r="F103" s="41">
        <v>47</v>
      </c>
      <c r="G103" s="41">
        <v>0</v>
      </c>
      <c r="H103" s="41">
        <v>47</v>
      </c>
      <c r="I103" s="41" t="s">
        <v>826</v>
      </c>
    </row>
    <row r="104" spans="1:10">
      <c r="A104" s="42">
        <v>44253.721087962964</v>
      </c>
      <c r="B104" s="41" t="s">
        <v>677</v>
      </c>
      <c r="C104" s="41" t="s">
        <v>827</v>
      </c>
      <c r="D104" s="41" t="s">
        <v>679</v>
      </c>
      <c r="E104" s="41">
        <v>79.8</v>
      </c>
      <c r="F104" s="41">
        <v>139</v>
      </c>
      <c r="G104" s="41">
        <v>25</v>
      </c>
      <c r="H104" s="41">
        <v>34</v>
      </c>
      <c r="I104" s="41" t="s">
        <v>828</v>
      </c>
    </row>
    <row r="105" spans="1:10">
      <c r="A105" s="42">
        <v>44265.217199074075</v>
      </c>
      <c r="B105" s="41" t="s">
        <v>688</v>
      </c>
      <c r="C105" s="41" t="s">
        <v>692</v>
      </c>
      <c r="D105" s="41" t="s">
        <v>684</v>
      </c>
      <c r="E105" s="41">
        <v>80.13</v>
      </c>
      <c r="F105" s="41">
        <v>118</v>
      </c>
      <c r="G105" s="41">
        <v>0</v>
      </c>
      <c r="H105" s="41">
        <v>33</v>
      </c>
      <c r="I105" s="41" t="s">
        <v>829</v>
      </c>
      <c r="J105" s="41" t="s">
        <v>830</v>
      </c>
    </row>
    <row r="106" spans="1:10">
      <c r="A106" s="42">
        <v>44280.705625000002</v>
      </c>
      <c r="B106" s="41" t="s">
        <v>707</v>
      </c>
      <c r="C106" s="41" t="s">
        <v>807</v>
      </c>
      <c r="D106" s="41" t="s">
        <v>684</v>
      </c>
      <c r="E106" s="41">
        <v>78.2</v>
      </c>
      <c r="F106" s="41">
        <v>75</v>
      </c>
      <c r="G106" s="41">
        <v>0</v>
      </c>
      <c r="H106" s="41">
        <v>73</v>
      </c>
      <c r="I106" s="41" t="s">
        <v>831</v>
      </c>
      <c r="J106" s="41" t="s">
        <v>832</v>
      </c>
    </row>
    <row r="107" spans="1:10">
      <c r="A107" s="42">
        <v>44289.640185185184</v>
      </c>
      <c r="B107" s="41" t="s">
        <v>686</v>
      </c>
      <c r="C107" s="41" t="s">
        <v>704</v>
      </c>
      <c r="D107" s="41" t="s">
        <v>679</v>
      </c>
      <c r="E107" s="41">
        <v>78.599999999999994</v>
      </c>
      <c r="F107" s="41">
        <v>57</v>
      </c>
      <c r="G107" s="41">
        <v>31</v>
      </c>
      <c r="H107" s="41">
        <v>10</v>
      </c>
      <c r="I107" s="41" t="s">
        <v>833</v>
      </c>
    </row>
    <row r="108" spans="1:10">
      <c r="A108" s="42">
        <v>44294.499479166669</v>
      </c>
      <c r="B108" s="41" t="s">
        <v>677</v>
      </c>
      <c r="C108" s="41" t="s">
        <v>751</v>
      </c>
      <c r="D108" s="41" t="s">
        <v>684</v>
      </c>
      <c r="E108" s="41">
        <v>78.599999999999994</v>
      </c>
      <c r="F108" s="41">
        <v>77</v>
      </c>
      <c r="G108" s="41">
        <v>45</v>
      </c>
      <c r="H108" s="41">
        <v>17</v>
      </c>
      <c r="I108" s="41" t="s">
        <v>834</v>
      </c>
    </row>
    <row r="109" spans="1:10">
      <c r="A109" s="42">
        <v>44324.731446759259</v>
      </c>
      <c r="B109" s="41" t="s">
        <v>761</v>
      </c>
      <c r="C109" s="41" t="s">
        <v>780</v>
      </c>
      <c r="D109" s="41" t="s">
        <v>684</v>
      </c>
      <c r="E109" s="41">
        <v>80.59</v>
      </c>
      <c r="F109" s="41">
        <v>67</v>
      </c>
      <c r="G109" s="41">
        <v>58</v>
      </c>
      <c r="H109" s="41">
        <v>0</v>
      </c>
      <c r="I109" s="41" t="s">
        <v>835</v>
      </c>
    </row>
    <row r="110" spans="1:10">
      <c r="A110" s="42">
        <v>44353.684062499997</v>
      </c>
      <c r="B110" s="41" t="s">
        <v>677</v>
      </c>
      <c r="C110" s="41" t="s">
        <v>780</v>
      </c>
      <c r="D110" s="41" t="s">
        <v>679</v>
      </c>
      <c r="E110" s="41">
        <v>80.2</v>
      </c>
      <c r="F110" s="41">
        <v>146</v>
      </c>
      <c r="G110" s="41">
        <v>102</v>
      </c>
      <c r="H110" s="41">
        <v>0</v>
      </c>
      <c r="I110" s="41" t="s">
        <v>836</v>
      </c>
    </row>
    <row r="111" spans="1:10">
      <c r="A111" s="42">
        <v>44353.750694444447</v>
      </c>
      <c r="B111" s="41" t="s">
        <v>688</v>
      </c>
      <c r="C111" s="41" t="s">
        <v>780</v>
      </c>
      <c r="D111" s="41" t="s">
        <v>679</v>
      </c>
      <c r="E111" s="41">
        <v>80.2</v>
      </c>
      <c r="F111" s="41">
        <v>94</v>
      </c>
      <c r="G111" s="41">
        <v>94</v>
      </c>
      <c r="H111" s="41">
        <v>0</v>
      </c>
      <c r="I111" s="41" t="s">
        <v>837</v>
      </c>
    </row>
    <row r="112" spans="1:10">
      <c r="A112" s="42">
        <v>44388.922673611109</v>
      </c>
      <c r="B112" s="41" t="s">
        <v>815</v>
      </c>
      <c r="C112" s="41" t="s">
        <v>816</v>
      </c>
      <c r="D112" s="41" t="s">
        <v>679</v>
      </c>
      <c r="E112" s="41">
        <v>79.2</v>
      </c>
      <c r="F112" s="41">
        <v>94</v>
      </c>
      <c r="G112" s="41">
        <v>94</v>
      </c>
      <c r="H112" s="41">
        <v>0</v>
      </c>
    </row>
    <row r="113" spans="1:10">
      <c r="A113" s="42">
        <v>44416.576516203706</v>
      </c>
      <c r="B113" s="41" t="s">
        <v>761</v>
      </c>
      <c r="C113" s="41" t="s">
        <v>711</v>
      </c>
      <c r="D113" s="41" t="s">
        <v>684</v>
      </c>
      <c r="E113" s="41">
        <v>78</v>
      </c>
      <c r="F113" s="41">
        <v>44</v>
      </c>
      <c r="G113" s="41">
        <v>39</v>
      </c>
      <c r="H113" s="41">
        <v>2</v>
      </c>
    </row>
    <row r="114" spans="1:10">
      <c r="A114" s="42">
        <v>44442.646979166668</v>
      </c>
      <c r="B114" s="41" t="s">
        <v>677</v>
      </c>
      <c r="C114" s="41" t="s">
        <v>711</v>
      </c>
      <c r="D114" s="41" t="s">
        <v>684</v>
      </c>
      <c r="E114" s="41">
        <v>78</v>
      </c>
      <c r="F114" s="41">
        <v>80</v>
      </c>
      <c r="G114" s="41">
        <v>77</v>
      </c>
      <c r="H114" s="41">
        <v>0</v>
      </c>
    </row>
    <row r="115" spans="1:10">
      <c r="A115" s="42">
        <v>44452.446469907409</v>
      </c>
      <c r="B115" s="41" t="s">
        <v>682</v>
      </c>
      <c r="C115" s="41" t="s">
        <v>692</v>
      </c>
      <c r="D115" s="41" t="s">
        <v>684</v>
      </c>
      <c r="E115" s="41">
        <v>80.13</v>
      </c>
      <c r="F115" s="41">
        <v>60</v>
      </c>
      <c r="G115" s="41">
        <v>52</v>
      </c>
      <c r="H115" s="41">
        <v>1</v>
      </c>
      <c r="I115" s="41" t="s">
        <v>838</v>
      </c>
      <c r="J115" s="41" t="s">
        <v>839</v>
      </c>
    </row>
    <row r="116" spans="1:10">
      <c r="A116" s="42">
        <v>44470.656805555554</v>
      </c>
      <c r="B116" s="41" t="s">
        <v>677</v>
      </c>
      <c r="C116" s="41" t="s">
        <v>807</v>
      </c>
      <c r="D116" s="41" t="s">
        <v>684</v>
      </c>
      <c r="E116" s="41">
        <v>78.2</v>
      </c>
      <c r="F116" s="41">
        <v>33</v>
      </c>
      <c r="G116" s="41">
        <v>7</v>
      </c>
      <c r="H116" s="41">
        <v>0</v>
      </c>
      <c r="I116" s="41" t="s">
        <v>840</v>
      </c>
    </row>
    <row r="117" spans="1:10">
      <c r="A117" s="42">
        <v>44479.461064814815</v>
      </c>
      <c r="B117" s="41" t="s">
        <v>761</v>
      </c>
      <c r="C117" s="41" t="s">
        <v>807</v>
      </c>
      <c r="D117" s="41" t="s">
        <v>684</v>
      </c>
      <c r="E117" s="41">
        <v>78.2</v>
      </c>
      <c r="F117" s="41">
        <v>60</v>
      </c>
      <c r="G117" s="41">
        <v>46</v>
      </c>
      <c r="H117" s="41">
        <v>0</v>
      </c>
      <c r="I117" s="41" t="s">
        <v>841</v>
      </c>
    </row>
    <row r="118" spans="1:10">
      <c r="A118" s="42">
        <v>44504.229155092595</v>
      </c>
      <c r="B118" s="41" t="s">
        <v>707</v>
      </c>
      <c r="C118" s="41" t="s">
        <v>842</v>
      </c>
      <c r="D118" s="41" t="s">
        <v>679</v>
      </c>
      <c r="E118" s="41">
        <v>78.2</v>
      </c>
      <c r="F118" s="41">
        <v>55</v>
      </c>
      <c r="G118" s="41">
        <v>54</v>
      </c>
      <c r="H118" s="41">
        <v>1</v>
      </c>
      <c r="I118" s="41" t="s">
        <v>843</v>
      </c>
    </row>
    <row r="119" spans="1:10">
      <c r="A119" s="42">
        <v>44515.820601851854</v>
      </c>
      <c r="B119" s="41" t="s">
        <v>815</v>
      </c>
      <c r="C119" s="41" t="s">
        <v>751</v>
      </c>
      <c r="D119" s="41" t="s">
        <v>684</v>
      </c>
      <c r="E119" s="41">
        <v>78.47</v>
      </c>
      <c r="F119" s="41">
        <v>71</v>
      </c>
      <c r="G119" s="41">
        <v>71</v>
      </c>
      <c r="H119" s="41">
        <v>0</v>
      </c>
      <c r="I119" s="41" t="s">
        <v>844</v>
      </c>
    </row>
    <row r="120" spans="1:10">
      <c r="A120" s="42">
        <v>44526.484837962962</v>
      </c>
      <c r="B120" s="41" t="s">
        <v>677</v>
      </c>
      <c r="C120" s="41" t="s">
        <v>845</v>
      </c>
      <c r="D120" s="41" t="s">
        <v>679</v>
      </c>
      <c r="E120" s="41">
        <v>80.69</v>
      </c>
      <c r="F120" s="41">
        <v>48</v>
      </c>
      <c r="G120" s="41">
        <v>6</v>
      </c>
      <c r="H120" s="41">
        <v>0</v>
      </c>
    </row>
    <row r="121" spans="1:10">
      <c r="A121" s="42">
        <v>44534.097650462965</v>
      </c>
      <c r="B121" s="41" t="s">
        <v>688</v>
      </c>
      <c r="C121" s="41" t="s">
        <v>819</v>
      </c>
      <c r="D121" s="41" t="s">
        <v>679</v>
      </c>
      <c r="E121" s="41">
        <v>80.400000000000006</v>
      </c>
      <c r="F121" s="41">
        <v>56</v>
      </c>
      <c r="G121" s="41">
        <v>12</v>
      </c>
      <c r="H121" s="41">
        <v>2</v>
      </c>
      <c r="I121" s="41" t="s">
        <v>846</v>
      </c>
    </row>
    <row r="122" spans="1:10">
      <c r="A122" s="42">
        <v>44551.374606481484</v>
      </c>
      <c r="B122" s="41" t="s">
        <v>682</v>
      </c>
      <c r="C122" s="41" t="s">
        <v>847</v>
      </c>
      <c r="D122" s="41" t="s">
        <v>684</v>
      </c>
      <c r="E122" s="41">
        <v>80</v>
      </c>
      <c r="F122" s="41">
        <v>58</v>
      </c>
      <c r="G122" s="41">
        <v>16</v>
      </c>
      <c r="H122" s="41">
        <v>1</v>
      </c>
      <c r="I122" s="41" t="s">
        <v>848</v>
      </c>
    </row>
    <row r="128" spans="1:10" ht="16.5" thickBot="1"/>
    <row r="129" spans="3:4" ht="22.5" customHeight="1">
      <c r="C129" s="568" t="s">
        <v>849</v>
      </c>
      <c r="D129" s="570"/>
    </row>
    <row r="130" spans="3:4">
      <c r="C130" s="44" t="s">
        <v>850</v>
      </c>
      <c r="D130" s="45">
        <f>COUNT(H32:H122)</f>
        <v>91</v>
      </c>
    </row>
    <row r="131" spans="3:4">
      <c r="C131" s="44" t="s">
        <v>851</v>
      </c>
      <c r="D131" s="45">
        <v>4</v>
      </c>
    </row>
    <row r="132" spans="3:4">
      <c r="C132" s="44" t="s">
        <v>852</v>
      </c>
      <c r="D132" s="45">
        <f>SUM(H32:H122)</f>
        <v>583.7199999999998</v>
      </c>
    </row>
    <row r="133" spans="3:4">
      <c r="C133" s="44" t="s">
        <v>853</v>
      </c>
      <c r="D133" s="46">
        <f>D132/D130</f>
        <v>6.4145054945054927</v>
      </c>
    </row>
    <row r="134" spans="3:4">
      <c r="C134" s="44" t="s">
        <v>854</v>
      </c>
      <c r="D134" s="45">
        <f>D130/D131</f>
        <v>22.75</v>
      </c>
    </row>
    <row r="135" spans="3:4">
      <c r="C135" s="454" t="s">
        <v>855</v>
      </c>
      <c r="D135" s="455">
        <f>D134*D133</f>
        <v>145.92999999999995</v>
      </c>
    </row>
    <row r="136" spans="3:4" ht="16.5" thickBot="1">
      <c r="C136" s="456" t="s">
        <v>856</v>
      </c>
      <c r="D136" s="457">
        <f>D135*0.38</f>
        <v>55.453399999999981</v>
      </c>
    </row>
    <row r="137" spans="3:4">
      <c r="C137" s="664" t="s">
        <v>857</v>
      </c>
      <c r="D137" s="664"/>
    </row>
    <row r="138" spans="3:4">
      <c r="C138" s="665"/>
      <c r="D138" s="665"/>
    </row>
  </sheetData>
  <autoFilter ref="C2:C122" xr:uid="{02EF4ADE-470B-4D60-AB7F-E7B84866C050}"/>
  <sortState xmlns:xlrd2="http://schemas.microsoft.com/office/spreadsheetml/2017/richdata2" ref="A3:J137">
    <sortCondition ref="A2:A433"/>
  </sortState>
  <mergeCells count="3">
    <mergeCell ref="C129:D129"/>
    <mergeCell ref="C137:D138"/>
    <mergeCell ref="A1:I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A730B-F152-47E8-9F34-DF9E0403C189}">
  <sheetPr>
    <tabColor rgb="FF005695"/>
    <pageSetUpPr fitToPage="1"/>
  </sheetPr>
  <dimension ref="B1:D18"/>
  <sheetViews>
    <sheetView zoomScaleNormal="100" workbookViewId="0">
      <selection activeCell="E1" sqref="E1"/>
    </sheetView>
  </sheetViews>
  <sheetFormatPr defaultRowHeight="15"/>
  <cols>
    <col min="2" max="2" width="40.85546875" customWidth="1"/>
    <col min="3" max="4" width="18.7109375" customWidth="1"/>
  </cols>
  <sheetData>
    <row r="1" spans="2:4" ht="15.75" thickBot="1"/>
    <row r="2" spans="2:4" ht="20.100000000000001" customHeight="1">
      <c r="B2" s="500" t="s">
        <v>35</v>
      </c>
      <c r="C2" s="501"/>
      <c r="D2" s="502"/>
    </row>
    <row r="3" spans="2:4" ht="26.25" customHeight="1">
      <c r="B3" s="337" t="s">
        <v>36</v>
      </c>
      <c r="C3" s="338" t="s">
        <v>37</v>
      </c>
      <c r="D3" s="339" t="s">
        <v>38</v>
      </c>
    </row>
    <row r="4" spans="2:4">
      <c r="B4" s="340" t="s">
        <v>39</v>
      </c>
      <c r="C4" s="341">
        <f>'BCA Discount Summary'!E36</f>
        <v>65742141.346772417</v>
      </c>
      <c r="D4" s="342">
        <f>SUM('1. Travel Time Savings'!F4:F34)</f>
        <v>270865904.1385929</v>
      </c>
    </row>
    <row r="5" spans="2:4">
      <c r="B5" s="350" t="s">
        <v>40</v>
      </c>
      <c r="C5" s="351">
        <f>'BCA Discount Summary'!F36</f>
        <v>38061503.337072767</v>
      </c>
      <c r="D5" s="352">
        <f>SUM('2. Safety'!H4:H34)</f>
        <v>129777370</v>
      </c>
    </row>
    <row r="6" spans="2:4" ht="31.5">
      <c r="B6" s="343" t="s">
        <v>41</v>
      </c>
      <c r="C6" s="341">
        <f>'BCA Discount Summary'!G36</f>
        <v>3096600.0433877772</v>
      </c>
      <c r="D6" s="342">
        <f>SUM('3. Emissions'!N5:O35)</f>
        <v>12367728.78387358</v>
      </c>
    </row>
    <row r="7" spans="2:4">
      <c r="B7" s="350" t="s">
        <v>42</v>
      </c>
      <c r="C7" s="351">
        <f>'BCA Discount Summary'!H36</f>
        <v>5332917.3441592306</v>
      </c>
      <c r="D7" s="352">
        <f>SUM('4. O&amp;M'!P4:P34)</f>
        <v>44827518.800000004</v>
      </c>
    </row>
    <row r="8" spans="2:4">
      <c r="B8" s="340" t="s">
        <v>43</v>
      </c>
      <c r="C8" s="341">
        <f>'BCA Discount Summary'!I36</f>
        <v>440467.72429739486</v>
      </c>
      <c r="D8" s="342">
        <f>SUM('5. SOGR'!F4:F34)</f>
        <v>-9359825</v>
      </c>
    </row>
    <row r="9" spans="2:4">
      <c r="B9" s="350" t="s">
        <v>44</v>
      </c>
      <c r="C9" s="351">
        <f>'BCA Discount Summary'!J36</f>
        <v>14273074.629121793</v>
      </c>
      <c r="D9" s="352">
        <f>SUM('6. Reliability'!G4:G34)</f>
        <v>53246406.52892869</v>
      </c>
    </row>
    <row r="10" spans="2:4">
      <c r="B10" s="340" t="s">
        <v>45</v>
      </c>
      <c r="C10" s="341">
        <f>'BCA Discount Summary'!K36</f>
        <v>3319506.0411022161</v>
      </c>
      <c r="D10" s="342">
        <f>SUM(' 7. Noise'!F4:F34)</f>
        <v>11150887.555116674</v>
      </c>
    </row>
    <row r="11" spans="2:4" ht="15.75" thickBot="1">
      <c r="B11" s="353" t="s">
        <v>46</v>
      </c>
      <c r="C11" s="354">
        <f>'BCA Discount Summary'!L36</f>
        <v>54308.763293581556</v>
      </c>
      <c r="D11" s="355">
        <f>SUM('8. PED &amp; Cycling'!I4:I34)</f>
        <v>187084.10274621961</v>
      </c>
    </row>
    <row r="12" spans="2:4" ht="20.100000000000001" customHeight="1" thickBot="1">
      <c r="B12" s="344" t="s">
        <v>47</v>
      </c>
      <c r="C12" s="345">
        <f>SUM(C4:C11)</f>
        <v>130320519.22920717</v>
      </c>
      <c r="D12" s="345">
        <f>SUM(D4:D11)</f>
        <v>513063074.90925807</v>
      </c>
    </row>
    <row r="13" spans="2:4" ht="15.75" thickBot="1">
      <c r="B13" s="346" t="s">
        <v>48</v>
      </c>
      <c r="C13" s="503">
        <f>'Fixed Inputs &amp; Assumptions'!C27</f>
        <v>109423597</v>
      </c>
      <c r="D13" s="504"/>
    </row>
    <row r="14" spans="2:4" ht="15.75" thickBot="1">
      <c r="B14" s="346" t="s">
        <v>49</v>
      </c>
      <c r="C14" s="503">
        <f>'BCA Discount Summary'!D36</f>
        <v>74975071.466269374</v>
      </c>
      <c r="D14" s="504"/>
    </row>
    <row r="15" spans="2:4" ht="20.100000000000001" customHeight="1" thickBot="1">
      <c r="B15" s="347" t="s">
        <v>50</v>
      </c>
      <c r="C15" s="348">
        <f>C12/C14</f>
        <v>1.7381846616556709</v>
      </c>
      <c r="D15" s="348">
        <f>D12/C13</f>
        <v>4.6887791022740561</v>
      </c>
    </row>
    <row r="16" spans="2:4" ht="29.25" customHeight="1" thickBot="1">
      <c r="B16" s="349" t="s">
        <v>51</v>
      </c>
      <c r="C16" s="505">
        <f>'BCA Discount Summary'!L37</f>
        <v>1.7381846616556711</v>
      </c>
      <c r="D16" s="506"/>
    </row>
    <row r="18" spans="3:3">
      <c r="C18" s="199"/>
    </row>
  </sheetData>
  <mergeCells count="4">
    <mergeCell ref="B2:D2"/>
    <mergeCell ref="C13:D13"/>
    <mergeCell ref="C16:D16"/>
    <mergeCell ref="C14:D1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CDCD9-BCB7-41D6-BDB7-181882F2B25B}">
  <sheetPr>
    <tabColor rgb="FF005695"/>
  </sheetPr>
  <dimension ref="B1:N37"/>
  <sheetViews>
    <sheetView zoomScale="85" zoomScaleNormal="85" workbookViewId="0">
      <selection activeCell="K40" sqref="K40"/>
    </sheetView>
  </sheetViews>
  <sheetFormatPr defaultRowHeight="15"/>
  <cols>
    <col min="3" max="3" width="18.28515625" customWidth="1"/>
    <col min="4" max="4" width="20.7109375" customWidth="1"/>
    <col min="5" max="12" width="23.7109375" customWidth="1"/>
    <col min="13" max="13" width="32.85546875" customWidth="1"/>
    <col min="14" max="14" width="20.7109375" customWidth="1"/>
  </cols>
  <sheetData>
    <row r="1" spans="2:14" ht="15.75" thickBot="1"/>
    <row r="2" spans="2:14" ht="25.15" customHeight="1" thickBot="1">
      <c r="B2" s="507" t="s">
        <v>35</v>
      </c>
      <c r="C2" s="508"/>
      <c r="D2" s="508"/>
      <c r="E2" s="508"/>
      <c r="F2" s="508"/>
      <c r="G2" s="508"/>
      <c r="H2" s="508"/>
      <c r="I2" s="508"/>
      <c r="J2" s="508"/>
      <c r="K2" s="508"/>
      <c r="L2" s="508"/>
      <c r="M2" s="509"/>
    </row>
    <row r="3" spans="2:14" ht="14.45" customHeight="1">
      <c r="B3" s="514" t="s">
        <v>52</v>
      </c>
      <c r="C3" s="515"/>
      <c r="D3" s="518" t="s">
        <v>53</v>
      </c>
      <c r="E3" s="521" t="s">
        <v>54</v>
      </c>
      <c r="F3" s="522"/>
      <c r="G3" s="522"/>
      <c r="H3" s="522"/>
      <c r="I3" s="522"/>
      <c r="J3" s="522"/>
      <c r="K3" s="522"/>
      <c r="L3" s="522"/>
      <c r="M3" s="523" t="s">
        <v>55</v>
      </c>
    </row>
    <row r="4" spans="2:14" s="200" customFormat="1" ht="39" customHeight="1" thickBot="1">
      <c r="B4" s="516"/>
      <c r="C4" s="517"/>
      <c r="D4" s="519"/>
      <c r="E4" s="329" t="s">
        <v>10</v>
      </c>
      <c r="F4" s="329" t="s">
        <v>12</v>
      </c>
      <c r="G4" s="329" t="s">
        <v>56</v>
      </c>
      <c r="H4" s="329" t="s">
        <v>57</v>
      </c>
      <c r="I4" s="329" t="s">
        <v>58</v>
      </c>
      <c r="J4" s="329" t="s">
        <v>59</v>
      </c>
      <c r="K4" s="329" t="s">
        <v>60</v>
      </c>
      <c r="L4" s="330" t="s">
        <v>61</v>
      </c>
      <c r="M4" s="524"/>
      <c r="N4" s="203"/>
    </row>
    <row r="5" spans="2:14">
      <c r="B5" s="207">
        <v>0</v>
      </c>
      <c r="C5" s="208">
        <v>2022</v>
      </c>
      <c r="D5" s="206">
        <f>'Fixed Inputs &amp; Assumptions'!N9/(1.07^(C5-2020))</f>
        <v>0</v>
      </c>
      <c r="E5" s="209">
        <f>'1. Travel Time Savings'!G4</f>
        <v>0</v>
      </c>
      <c r="F5" s="209">
        <f>'2. Safety'!I4</f>
        <v>0</v>
      </c>
      <c r="G5" s="209">
        <f>'3. Emissions'!P5</f>
        <v>0</v>
      </c>
      <c r="H5" s="209">
        <f>'4. O&amp;M'!Q4</f>
        <v>0</v>
      </c>
      <c r="I5" s="209">
        <f>'5. SOGR'!G4</f>
        <v>0</v>
      </c>
      <c r="J5" s="209">
        <f>'6. Reliability'!H4</f>
        <v>0</v>
      </c>
      <c r="K5" s="209">
        <f>' 7. Noise'!G4</f>
        <v>0</v>
      </c>
      <c r="L5" s="210">
        <f>'8. PED &amp; Cycling'!J4</f>
        <v>0</v>
      </c>
      <c r="M5" s="211">
        <f>SUM(E5:L5)</f>
        <v>0</v>
      </c>
    </row>
    <row r="6" spans="2:14">
      <c r="B6" s="331">
        <v>1</v>
      </c>
      <c r="C6" s="332">
        <v>2023</v>
      </c>
      <c r="D6" s="333">
        <f>'Fixed Inputs &amp; Assumptions'!O9/(1.07^(C6-2020))</f>
        <v>5700767.2383744894</v>
      </c>
      <c r="E6" s="334">
        <f>'1. Travel Time Savings'!G5</f>
        <v>0</v>
      </c>
      <c r="F6" s="334">
        <f>'2. Safety'!I5</f>
        <v>0</v>
      </c>
      <c r="G6" s="334">
        <f>'3. Emissions'!P6</f>
        <v>0</v>
      </c>
      <c r="H6" s="334">
        <f>'4. O&amp;M'!Q5</f>
        <v>0</v>
      </c>
      <c r="I6" s="334">
        <f>'5. SOGR'!G5</f>
        <v>0</v>
      </c>
      <c r="J6" s="334">
        <f>'6. Reliability'!H5</f>
        <v>0</v>
      </c>
      <c r="K6" s="334">
        <f>' 7. Noise'!G5</f>
        <v>0</v>
      </c>
      <c r="L6" s="335">
        <f>'8. PED &amp; Cycling'!J5</f>
        <v>0</v>
      </c>
      <c r="M6" s="336">
        <f t="shared" ref="M6:M35" si="0">SUM(E6:L6)</f>
        <v>0</v>
      </c>
    </row>
    <row r="7" spans="2:14">
      <c r="B7" s="202">
        <v>2</v>
      </c>
      <c r="C7" s="201">
        <v>2024</v>
      </c>
      <c r="D7" s="206">
        <f>'Fixed Inputs &amp; Assumptions'!P9/(1.07^(C7-2020))</f>
        <v>6121772.5250781011</v>
      </c>
      <c r="E7" s="209">
        <f>'1. Travel Time Savings'!G6</f>
        <v>0</v>
      </c>
      <c r="F7" s="209">
        <f>'2. Safety'!I6</f>
        <v>0</v>
      </c>
      <c r="G7" s="209">
        <f>'3. Emissions'!P7</f>
        <v>0</v>
      </c>
      <c r="H7" s="209">
        <f>'4. O&amp;M'!Q6</f>
        <v>0</v>
      </c>
      <c r="I7" s="209">
        <f>'5. SOGR'!G6</f>
        <v>1681218.117226341</v>
      </c>
      <c r="J7" s="209">
        <f>'6. Reliability'!H6</f>
        <v>0</v>
      </c>
      <c r="K7" s="209">
        <f>' 7. Noise'!G6</f>
        <v>0</v>
      </c>
      <c r="L7" s="210">
        <f>'8. PED &amp; Cycling'!J6</f>
        <v>0</v>
      </c>
      <c r="M7" s="211">
        <f t="shared" si="0"/>
        <v>1681218.117226341</v>
      </c>
    </row>
    <row r="8" spans="2:14">
      <c r="B8" s="331">
        <v>3</v>
      </c>
      <c r="C8" s="332" t="s">
        <v>62</v>
      </c>
      <c r="D8" s="333">
        <f>'Fixed Inputs &amp; Assumptions'!Q9/(1.07^(2025-2020))</f>
        <v>23933405.282132883</v>
      </c>
      <c r="E8" s="334">
        <f>'1. Travel Time Savings'!G7</f>
        <v>0</v>
      </c>
      <c r="F8" s="334">
        <f>'2. Safety'!I7</f>
        <v>0</v>
      </c>
      <c r="G8" s="334">
        <f>'3. Emissions'!P8</f>
        <v>0</v>
      </c>
      <c r="H8" s="334">
        <f>'4. O&amp;M'!Q7</f>
        <v>0</v>
      </c>
      <c r="I8" s="334">
        <f>'5. SOGR'!G7</f>
        <v>1094077.292417689</v>
      </c>
      <c r="J8" s="334">
        <f>'6. Reliability'!H7</f>
        <v>0</v>
      </c>
      <c r="K8" s="334">
        <f>' 7. Noise'!G7</f>
        <v>0</v>
      </c>
      <c r="L8" s="335">
        <f>'8. PED &amp; Cycling'!J7</f>
        <v>0</v>
      </c>
      <c r="M8" s="336">
        <f t="shared" si="0"/>
        <v>1094077.292417689</v>
      </c>
    </row>
    <row r="9" spans="2:14">
      <c r="B9" s="202">
        <v>4</v>
      </c>
      <c r="C9" s="201" t="s">
        <v>63</v>
      </c>
      <c r="D9" s="206">
        <f>'Fixed Inputs &amp; Assumptions'!R9/(1.07^(2026-2020))</f>
        <v>20272688.536295544</v>
      </c>
      <c r="E9" s="209">
        <f>'1. Travel Time Savings'!G8</f>
        <v>868776.4623840889</v>
      </c>
      <c r="F9" s="209">
        <f>'2. Safety'!I8</f>
        <v>985072.58916429186</v>
      </c>
      <c r="G9" s="209">
        <f>'3. Emissions'!P9</f>
        <v>64428.757693141779</v>
      </c>
      <c r="H9" s="209">
        <f>'4. O&amp;M'!Q8</f>
        <v>0</v>
      </c>
      <c r="I9" s="209">
        <f>'5. SOGR'!G8</f>
        <v>0</v>
      </c>
      <c r="J9" s="209">
        <f>'6. Reliability'!H8</f>
        <v>258154.61844601331</v>
      </c>
      <c r="K9" s="209">
        <f>' 7. Noise'!G8</f>
        <v>123840.48224287934</v>
      </c>
      <c r="L9" s="210">
        <f>'8. PED &amp; Cycling'!J8</f>
        <v>0</v>
      </c>
      <c r="M9" s="211">
        <f t="shared" si="0"/>
        <v>2300272.9099304155</v>
      </c>
    </row>
    <row r="10" spans="2:14">
      <c r="B10" s="331">
        <v>5</v>
      </c>
      <c r="C10" s="332" t="s">
        <v>64</v>
      </c>
      <c r="D10" s="333">
        <f>'Fixed Inputs &amp; Assumptions'!S9/(1.07^(2027-2020))</f>
        <v>18946437.884388357</v>
      </c>
      <c r="E10" s="334">
        <f>'1. Travel Time Savings'!G9</f>
        <v>1868572.2197524465</v>
      </c>
      <c r="F10" s="334">
        <f>'2. Safety'!I9</f>
        <v>1841257.1760080222</v>
      </c>
      <c r="G10" s="334">
        <f>'3. Emissions'!P10</f>
        <v>121765.14782436499</v>
      </c>
      <c r="H10" s="334">
        <f>'4. O&amp;M'!Q9</f>
        <v>0</v>
      </c>
      <c r="I10" s="334">
        <f>'5. SOGR'!G9</f>
        <v>0</v>
      </c>
      <c r="J10" s="334">
        <f>'6. Reliability'!H9</f>
        <v>509795.18727682269</v>
      </c>
      <c r="K10" s="334">
        <f>' 7. Noise'!G9</f>
        <v>227841.03255468034</v>
      </c>
      <c r="L10" s="335">
        <f>'8. PED &amp; Cycling'!J9</f>
        <v>0</v>
      </c>
      <c r="M10" s="336">
        <f t="shared" si="0"/>
        <v>4569230.7634163368</v>
      </c>
    </row>
    <row r="11" spans="2:14">
      <c r="B11" s="202">
        <v>6</v>
      </c>
      <c r="C11" s="201">
        <v>2028</v>
      </c>
      <c r="D11" s="206">
        <v>0</v>
      </c>
      <c r="E11" s="209">
        <f>'1. Travel Time Savings'!G10</f>
        <v>2089353.9179714627</v>
      </c>
      <c r="F11" s="209">
        <f>'2. Safety'!I10</f>
        <v>2581201.6486093765</v>
      </c>
      <c r="G11" s="209">
        <f>'3. Emissions'!P11</f>
        <v>112723.3284343257</v>
      </c>
      <c r="H11" s="209">
        <f>'4. O&amp;M'!Q10</f>
        <v>25563.702301631096</v>
      </c>
      <c r="I11" s="209">
        <f>'5. SOGR'!G10</f>
        <v>0</v>
      </c>
      <c r="J11" s="209">
        <f>'6. Reliability'!H10</f>
        <v>752885.57587611245</v>
      </c>
      <c r="K11" s="209">
        <f>' 7. Noise'!G10</f>
        <v>215536.85783502844</v>
      </c>
      <c r="L11" s="210">
        <f>'8. PED &amp; Cycling'!J10</f>
        <v>4355.3860447114184</v>
      </c>
      <c r="M11" s="211">
        <f t="shared" si="0"/>
        <v>5781620.4170726482</v>
      </c>
    </row>
    <row r="12" spans="2:14">
      <c r="B12" s="331">
        <v>7</v>
      </c>
      <c r="C12" s="332">
        <v>2029</v>
      </c>
      <c r="D12" s="333">
        <v>0</v>
      </c>
      <c r="E12" s="334">
        <f>'1. Travel Time Savings'!G11</f>
        <v>2273251.082807654</v>
      </c>
      <c r="F12" s="334">
        <f>'2. Safety'!I11</f>
        <v>2412337.9893545574</v>
      </c>
      <c r="G12" s="334">
        <f>'3. Emissions'!P12</f>
        <v>118182.28051796921</v>
      </c>
      <c r="H12" s="334">
        <f>'4. O&amp;M'!Q11</f>
        <v>23891.310562272047</v>
      </c>
      <c r="I12" s="334">
        <f>'5. SOGR'!G11</f>
        <v>0</v>
      </c>
      <c r="J12" s="334">
        <f>'6. Reliability'!H11</f>
        <v>739350.4685646313</v>
      </c>
      <c r="K12" s="334">
        <f>' 7. Noise'!G11</f>
        <v>203867.44974432746</v>
      </c>
      <c r="L12" s="335">
        <f>'8. PED &amp; Cycling'!J11</f>
        <v>4070.4542473898177</v>
      </c>
      <c r="M12" s="336">
        <f t="shared" si="0"/>
        <v>5774951.0357988002</v>
      </c>
    </row>
    <row r="13" spans="2:14">
      <c r="B13" s="202">
        <v>8</v>
      </c>
      <c r="C13" s="201">
        <v>2030</v>
      </c>
      <c r="D13" s="206">
        <v>0</v>
      </c>
      <c r="E13" s="209">
        <f>'1. Travel Time Savings'!G12</f>
        <v>2424144.815474642</v>
      </c>
      <c r="F13" s="209">
        <f>'2. Safety'!I12</f>
        <v>2167267.5995172206</v>
      </c>
      <c r="G13" s="209">
        <f>'3. Emissions'!P13</f>
        <v>122986.01320377778</v>
      </c>
      <c r="H13" s="209">
        <f>'4. O&amp;M'!Q12</f>
        <v>22328.327628291634</v>
      </c>
      <c r="I13" s="209">
        <f>'5. SOGR'!G12</f>
        <v>780061.98878072447</v>
      </c>
      <c r="J13" s="209">
        <f>'6. Reliability'!H12</f>
        <v>724364.07271569455</v>
      </c>
      <c r="K13" s="209">
        <f>' 7. Noise'!G12</f>
        <v>192802.41472428365</v>
      </c>
      <c r="L13" s="210">
        <f>'8. PED &amp; Cycling'!J12</f>
        <v>3804.1628480278296</v>
      </c>
      <c r="M13" s="211">
        <f t="shared" si="0"/>
        <v>6437759.3948926618</v>
      </c>
    </row>
    <row r="14" spans="2:14">
      <c r="B14" s="331">
        <v>9</v>
      </c>
      <c r="C14" s="332">
        <v>2031</v>
      </c>
      <c r="D14" s="333">
        <v>0</v>
      </c>
      <c r="E14" s="334">
        <f>'1. Travel Time Savings'!G13</f>
        <v>2545566.2698122798</v>
      </c>
      <c r="F14" s="334">
        <f>'2. Safety'!I13</f>
        <v>2107029.4255870013</v>
      </c>
      <c r="G14" s="334">
        <f>'3. Emissions'!P14</f>
        <v>125458.59678666937</v>
      </c>
      <c r="H14" s="334">
        <f>'4. O&amp;M'!Q13</f>
        <v>20867.595914291243</v>
      </c>
      <c r="I14" s="334">
        <f>'5. SOGR'!G13</f>
        <v>0</v>
      </c>
      <c r="J14" s="334">
        <f>'6. Reliability'!H13</f>
        <v>708174.20477505017</v>
      </c>
      <c r="K14" s="334">
        <f>' 7. Noise'!G13</f>
        <v>182312.61923804658</v>
      </c>
      <c r="L14" s="335">
        <f>'8. PED &amp; Cycling'!J13</f>
        <v>3555.2923813344196</v>
      </c>
      <c r="M14" s="336">
        <f t="shared" si="0"/>
        <v>5692964.0044946726</v>
      </c>
    </row>
    <row r="15" spans="2:14">
      <c r="B15" s="202">
        <v>10</v>
      </c>
      <c r="C15" s="201">
        <v>2032</v>
      </c>
      <c r="D15" s="206">
        <v>0</v>
      </c>
      <c r="E15" s="209">
        <f>'1. Travel Time Savings'!G14</f>
        <v>2640725.8292633747</v>
      </c>
      <c r="F15" s="209">
        <f>'2. Safety'!I14</f>
        <v>1969186.3790532723</v>
      </c>
      <c r="G15" s="209">
        <f>'3. Emissions'!P15</f>
        <v>127886.67883382148</v>
      </c>
      <c r="H15" s="209">
        <f>'4. O&amp;M'!Q14</f>
        <v>19502.426088122662</v>
      </c>
      <c r="I15" s="209">
        <f>'5. SOGR'!G14</f>
        <v>-999180.53642955166</v>
      </c>
      <c r="J15" s="209">
        <f>'6. Reliability'!H14</f>
        <v>691002.46790367097</v>
      </c>
      <c r="K15" s="209">
        <f>' 7. Noise'!G14</f>
        <v>172370.15498745395</v>
      </c>
      <c r="L15" s="210">
        <f>'8. PED &amp; Cycling'!J14</f>
        <v>3322.7031601256263</v>
      </c>
      <c r="M15" s="211">
        <f t="shared" si="0"/>
        <v>4624816.1028602906</v>
      </c>
    </row>
    <row r="16" spans="2:14">
      <c r="B16" s="331">
        <v>11</v>
      </c>
      <c r="C16" s="332">
        <v>2033</v>
      </c>
      <c r="D16" s="333">
        <v>0</v>
      </c>
      <c r="E16" s="334">
        <f>'1. Travel Time Savings'!G15</f>
        <v>2712539.9640242304</v>
      </c>
      <c r="F16" s="334">
        <f>'2. Safety'!I15</f>
        <v>1840361.1019189456</v>
      </c>
      <c r="G16" s="334">
        <f>'3. Emissions'!P16</f>
        <v>128947.09695280078</v>
      </c>
      <c r="H16" s="334">
        <f>'4. O&amp;M'!Q15</f>
        <v>18226.566437497815</v>
      </c>
      <c r="I16" s="334">
        <f>'5. SOGR'!G15</f>
        <v>0</v>
      </c>
      <c r="J16" s="334">
        <f>'6. Reliability'!H15</f>
        <v>673046.62113617407</v>
      </c>
      <c r="K16" s="334">
        <f>' 7. Noise'!G15</f>
        <v>162948.30328858845</v>
      </c>
      <c r="L16" s="335">
        <f>'8. PED &amp; Cycling'!J15</f>
        <v>3105.3300561921737</v>
      </c>
      <c r="M16" s="336">
        <f t="shared" si="0"/>
        <v>5539174.9838144295</v>
      </c>
    </row>
    <row r="17" spans="2:13">
      <c r="B17" s="202">
        <v>12</v>
      </c>
      <c r="C17" s="201">
        <v>2034</v>
      </c>
      <c r="D17" s="206">
        <v>0</v>
      </c>
      <c r="E17" s="209">
        <f>'1. Travel Time Savings'!G16</f>
        <v>2763655.9470246122</v>
      </c>
      <c r="F17" s="209">
        <f>'2. Safety'!I16</f>
        <v>1719963.6466532203</v>
      </c>
      <c r="G17" s="209">
        <f>'3. Emissions'!P17</f>
        <v>129411.02574982462</v>
      </c>
      <c r="H17" s="209">
        <f>'4. O&amp;M'!Q16</f>
        <v>17034.174240652163</v>
      </c>
      <c r="I17" s="209">
        <f>'5. SOGR'!G16</f>
        <v>0</v>
      </c>
      <c r="J17" s="209">
        <f>'6. Reliability'!H16</f>
        <v>654482.75074481755</v>
      </c>
      <c r="K17" s="209">
        <f>' 7. Noise'!G16</f>
        <v>154021.49886463908</v>
      </c>
      <c r="L17" s="210">
        <f>'8. PED &amp; Cycling'!J16</f>
        <v>2902.1776226095085</v>
      </c>
      <c r="M17" s="211">
        <f t="shared" si="0"/>
        <v>5441471.2209003763</v>
      </c>
    </row>
    <row r="18" spans="2:13">
      <c r="B18" s="331">
        <v>13</v>
      </c>
      <c r="C18" s="332">
        <v>2035</v>
      </c>
      <c r="D18" s="333">
        <v>0</v>
      </c>
      <c r="E18" s="334">
        <f>'1. Travel Time Savings'!G17</f>
        <v>2796474.5939457067</v>
      </c>
      <c r="F18" s="334">
        <f>'2. Safety'!I17</f>
        <v>2022283.8766654294</v>
      </c>
      <c r="G18" s="334">
        <f>'3. Emissions'!P18</f>
        <v>129346.11091876248</v>
      </c>
      <c r="H18" s="334">
        <f>'4. O&amp;M'!Q17</f>
        <v>15919.789009955291</v>
      </c>
      <c r="I18" s="334">
        <f>'5. SOGR'!G17</f>
        <v>556173.41714120086</v>
      </c>
      <c r="J18" s="334">
        <f>'6. Reliability'!H17</f>
        <v>635467.25954907434</v>
      </c>
      <c r="K18" s="334">
        <f>' 7. Noise'!G17</f>
        <v>145565.29328477525</v>
      </c>
      <c r="L18" s="335">
        <f>'8. PED &amp; Cycling'!J17</f>
        <v>2712.3155351490732</v>
      </c>
      <c r="M18" s="336">
        <f t="shared" si="0"/>
        <v>6303942.6560500553</v>
      </c>
    </row>
    <row r="19" spans="2:13">
      <c r="B19" s="202">
        <v>14</v>
      </c>
      <c r="C19" s="201">
        <v>2036</v>
      </c>
      <c r="D19" s="206">
        <v>0</v>
      </c>
      <c r="E19" s="209">
        <f>'1. Travel Time Savings'!G18</f>
        <v>2813171.1800324921</v>
      </c>
      <c r="F19" s="209">
        <f>'2. Safety'!I18</f>
        <v>1889984.9314630183</v>
      </c>
      <c r="G19" s="209">
        <f>'3. Emissions'!P19</f>
        <v>128814.08364321686</v>
      </c>
      <c r="H19" s="209">
        <f>'4. O&amp;M'!Q18</f>
        <v>14878.307485939527</v>
      </c>
      <c r="I19" s="209">
        <f>'5. SOGR'!G18</f>
        <v>0</v>
      </c>
      <c r="J19" s="209">
        <f>'6. Reliability'!H18</f>
        <v>616138.68869787909</v>
      </c>
      <c r="K19" s="209">
        <f>' 7. Noise'!G18</f>
        <v>137556.31825031005</v>
      </c>
      <c r="L19" s="210">
        <f>'8. PED &amp; Cycling'!J18</f>
        <v>2534.8743319150217</v>
      </c>
      <c r="M19" s="211">
        <f t="shared" si="0"/>
        <v>5603078.3839047709</v>
      </c>
    </row>
    <row r="20" spans="2:13">
      <c r="B20" s="331">
        <v>15</v>
      </c>
      <c r="C20" s="332">
        <v>2037</v>
      </c>
      <c r="D20" s="333">
        <v>0</v>
      </c>
      <c r="E20" s="334">
        <f>'1. Travel Time Savings'!G19</f>
        <v>2815714.6749269157</v>
      </c>
      <c r="F20" s="334">
        <f>'2. Safety'!I19</f>
        <v>1766341.0574420732</v>
      </c>
      <c r="G20" s="334">
        <f>'3. Emissions'!P20</f>
        <v>127871.21985918368</v>
      </c>
      <c r="H20" s="334">
        <f>'4. O&amp;M'!Q19</f>
        <v>13113.524291072927</v>
      </c>
      <c r="I20" s="334">
        <f>'5. SOGR'!G19</f>
        <v>-1695876.3467406195</v>
      </c>
      <c r="J20" s="334">
        <f>'6. Reliability'!H19</f>
        <v>596619.3853300612</v>
      </c>
      <c r="K20" s="334">
        <f>' 7. Noise'!G19</f>
        <v>129972.24890461024</v>
      </c>
      <c r="L20" s="335">
        <f>'8. PED &amp; Cycling'!J19</f>
        <v>2369.041431696282</v>
      </c>
      <c r="M20" s="336">
        <f t="shared" si="0"/>
        <v>3756124.805444994</v>
      </c>
    </row>
    <row r="21" spans="2:13">
      <c r="B21" s="202">
        <v>16</v>
      </c>
      <c r="C21" s="201">
        <v>2038</v>
      </c>
      <c r="D21" s="206">
        <v>0</v>
      </c>
      <c r="E21" s="209">
        <f>'1. Travel Time Savings'!G20</f>
        <v>2805885.4260731139</v>
      </c>
      <c r="F21" s="209">
        <f>'2. Safety'!I20</f>
        <v>1650786.0349925917</v>
      </c>
      <c r="G21" s="209">
        <f>'3. Emissions'!P21</f>
        <v>126568.76638156746</v>
      </c>
      <c r="H21" s="209">
        <f>'4. O&amp;M'!Q20</f>
        <v>12255.630178572828</v>
      </c>
      <c r="I21" s="209">
        <f>'5. SOGR'!G20</f>
        <v>0</v>
      </c>
      <c r="J21" s="209">
        <f>'6. Reliability'!H20</f>
        <v>577017.02848148462</v>
      </c>
      <c r="K21" s="209">
        <f>' 7. Noise'!G20</f>
        <v>122791.76732077547</v>
      </c>
      <c r="L21" s="210">
        <f>'8. PED &amp; Cycling'!J20</f>
        <v>2214.0574128002636</v>
      </c>
      <c r="M21" s="211">
        <f t="shared" si="0"/>
        <v>5297518.710840906</v>
      </c>
    </row>
    <row r="22" spans="2:13">
      <c r="B22" s="331">
        <v>17</v>
      </c>
      <c r="C22" s="332">
        <v>2039</v>
      </c>
      <c r="D22" s="333">
        <v>0</v>
      </c>
      <c r="E22" s="334">
        <f>'1. Travel Time Savings'!G21</f>
        <v>2785291.4113630429</v>
      </c>
      <c r="F22" s="334">
        <f>'2. Safety'!I21</f>
        <v>1557733.1972248699</v>
      </c>
      <c r="G22" s="334">
        <f>'3. Emissions'!P22</f>
        <v>124953.33615718555</v>
      </c>
      <c r="H22" s="334">
        <f>'4. O&amp;M'!Q21</f>
        <v>11453.859979974606</v>
      </c>
      <c r="I22" s="334">
        <f>'5. SOGR'!G21</f>
        <v>0</v>
      </c>
      <c r="J22" s="334">
        <f>'6. Reliability'!H21</f>
        <v>557426.02464871667</v>
      </c>
      <c r="K22" s="334">
        <f>' 7. Noise'!G21</f>
        <v>115994.52630085534</v>
      </c>
      <c r="L22" s="335">
        <f>'8. PED &amp; Cycling'!J21</f>
        <v>2069.2125353273491</v>
      </c>
      <c r="M22" s="336">
        <f t="shared" si="0"/>
        <v>5154921.5682099732</v>
      </c>
    </row>
    <row r="23" spans="2:13">
      <c r="B23" s="202">
        <v>18</v>
      </c>
      <c r="C23" s="201">
        <v>2040</v>
      </c>
      <c r="D23" s="206">
        <v>0</v>
      </c>
      <c r="E23" s="209">
        <f>'1. Travel Time Savings'!G22</f>
        <v>2755383.1725424039</v>
      </c>
      <c r="F23" s="209">
        <f>'2. Safety'!I22</f>
        <v>1144089.4064927425</v>
      </c>
      <c r="G23" s="209">
        <f>'3. Emissions'!P23</f>
        <v>123715.10905952056</v>
      </c>
      <c r="H23" s="209">
        <f>'4. O&amp;M'!Q22</f>
        <v>10704.542037359444</v>
      </c>
      <c r="I23" s="209">
        <f>'5. SOGR'!G22</f>
        <v>966030.70256489969</v>
      </c>
      <c r="J23" s="209">
        <f>'6. Reliability'!H22</f>
        <v>537928.78353285801</v>
      </c>
      <c r="K23" s="209">
        <f>' 7. Noise'!G22</f>
        <v>109561.11360210934</v>
      </c>
      <c r="L23" s="210">
        <f>'8. PED &amp; Cycling'!J22</f>
        <v>1933.8434909601394</v>
      </c>
      <c r="M23" s="211">
        <f t="shared" si="0"/>
        <v>5649346.6733228527</v>
      </c>
    </row>
    <row r="24" spans="2:13">
      <c r="B24" s="331">
        <v>19</v>
      </c>
      <c r="C24" s="332">
        <v>2041</v>
      </c>
      <c r="D24" s="333">
        <v>0</v>
      </c>
      <c r="E24" s="334">
        <f>'1. Travel Time Savings'!G23</f>
        <v>2717467.5324287722</v>
      </c>
      <c r="F24" s="334">
        <f>'2. Safety'!I23</f>
        <v>1069242.4359745253</v>
      </c>
      <c r="G24" s="334">
        <f>'3. Emissions'!P24</f>
        <v>121582.34965039627</v>
      </c>
      <c r="H24" s="334">
        <f>'4. O&amp;M'!Q23</f>
        <v>10004.244894728452</v>
      </c>
      <c r="I24" s="334">
        <f>'5. SOGR'!G23</f>
        <v>0</v>
      </c>
      <c r="J24" s="334">
        <f>'6. Reliability'!H23</f>
        <v>518596.88366809278</v>
      </c>
      <c r="K24" s="334">
        <f>' 7. Noise'!G23</f>
        <v>103473.01668936903</v>
      </c>
      <c r="L24" s="335">
        <f>'8. PED &amp; Cycling'!J23</f>
        <v>1807.3303653833077</v>
      </c>
      <c r="M24" s="336">
        <f t="shared" si="0"/>
        <v>4542173.7936712671</v>
      </c>
    </row>
    <row r="25" spans="2:13">
      <c r="B25" s="202">
        <v>20</v>
      </c>
      <c r="C25" s="201">
        <v>2042</v>
      </c>
      <c r="D25" s="206">
        <v>0</v>
      </c>
      <c r="E25" s="209">
        <f>'1. Travel Time Savings'!G24</f>
        <v>2672720.1911565801</v>
      </c>
      <c r="F25" s="209">
        <f>'2. Safety'!I24</f>
        <v>999291.99623787438</v>
      </c>
      <c r="G25" s="209">
        <f>'3. Emissions'!P25</f>
        <v>119251.30458770422</v>
      </c>
      <c r="H25" s="209">
        <f>'4. O&amp;M'!Q24</f>
        <v>9349.7615838583679</v>
      </c>
      <c r="I25" s="209">
        <f>'5. SOGR'!G24</f>
        <v>-1005344.4947621593</v>
      </c>
      <c r="J25" s="209">
        <f>'6. Reliability'!H24</f>
        <v>499492.13688257552</v>
      </c>
      <c r="K25" s="209">
        <f>' 7. Noise'!G24</f>
        <v>97712.588097773099</v>
      </c>
      <c r="L25" s="210">
        <f>'8. PED &amp; Cycling'!J24</f>
        <v>1689.0937994236522</v>
      </c>
      <c r="M25" s="211">
        <f t="shared" si="0"/>
        <v>3394162.5775836296</v>
      </c>
    </row>
    <row r="26" spans="2:13">
      <c r="B26" s="331">
        <v>21</v>
      </c>
      <c r="C26" s="332">
        <v>2043</v>
      </c>
      <c r="D26" s="333">
        <v>0</v>
      </c>
      <c r="E26" s="334">
        <f>'1. Travel Time Savings'!G25</f>
        <v>2622197.2894106992</v>
      </c>
      <c r="F26" s="334">
        <f>'2. Safety'!I25</f>
        <v>920235.73863956984</v>
      </c>
      <c r="G26" s="334">
        <f>'3. Emissions'!P26</f>
        <v>116753.63440233219</v>
      </c>
      <c r="H26" s="334">
        <f>'4. O&amp;M'!Q25</f>
        <v>8738.0949381853898</v>
      </c>
      <c r="I26" s="334">
        <f>'5. SOGR'!G25</f>
        <v>0</v>
      </c>
      <c r="J26" s="334">
        <f>'6. Reliability'!H25</f>
        <v>480667.55983982777</v>
      </c>
      <c r="K26" s="334">
        <f>' 7. Noise'!G25</f>
        <v>92263.011476867308</v>
      </c>
      <c r="L26" s="335">
        <f>'8. PED &amp; Cycling'!J25</f>
        <v>1578.5923359099552</v>
      </c>
      <c r="M26" s="336">
        <f t="shared" si="0"/>
        <v>4242433.9210433913</v>
      </c>
    </row>
    <row r="27" spans="2:13">
      <c r="B27" s="202">
        <v>22</v>
      </c>
      <c r="C27" s="201">
        <v>2044</v>
      </c>
      <c r="D27" s="206">
        <v>0</v>
      </c>
      <c r="E27" s="209">
        <f>'1. Travel Time Savings'!G26</f>
        <v>2566846.0198989566</v>
      </c>
      <c r="F27" s="209">
        <f>'2. Safety'!I26</f>
        <v>874342.30227361247</v>
      </c>
      <c r="G27" s="209">
        <f>'3. Emissions'!P27</f>
        <v>114117.92892621412</v>
      </c>
      <c r="H27" s="209">
        <f>'4. O&amp;M'!Q26</f>
        <v>8166.443867462981</v>
      </c>
      <c r="I27" s="209">
        <f>'5. SOGR'!G26</f>
        <v>0</v>
      </c>
      <c r="J27" s="209">
        <f>'6. Reliability'!H26</f>
        <v>462168.2602626044</v>
      </c>
      <c r="K27" s="209">
        <f>' 7. Noise'!G26</f>
        <v>87108.268375161962</v>
      </c>
      <c r="L27" s="210">
        <f>'8. PED &amp; Cycling'!J26</f>
        <v>1475.3199401027618</v>
      </c>
      <c r="M27" s="211">
        <f t="shared" si="0"/>
        <v>4114224.5435441155</v>
      </c>
    </row>
    <row r="28" spans="2:13">
      <c r="B28" s="331">
        <v>23</v>
      </c>
      <c r="C28" s="332">
        <v>2045</v>
      </c>
      <c r="D28" s="333">
        <v>0</v>
      </c>
      <c r="E28" s="334">
        <f>'1. Travel Time Savings'!G27</f>
        <v>2507514.3621041737</v>
      </c>
      <c r="F28" s="334">
        <f>'2. Safety'!I27</f>
        <v>1029448.9808487961</v>
      </c>
      <c r="G28" s="334">
        <f>'3. Emissions'!P28</f>
        <v>111369.95896395919</v>
      </c>
      <c r="H28" s="334">
        <f>'4. O&amp;M'!Q27</f>
        <v>7632.1905303392341</v>
      </c>
      <c r="I28" s="334">
        <f>'5. SOGR'!G27</f>
        <v>282730.36290787661</v>
      </c>
      <c r="J28" s="334">
        <f>'6. Reliability'!H27</f>
        <v>444032.24484421842</v>
      </c>
      <c r="K28" s="334">
        <f>' 7. Noise'!G27</f>
        <v>82233.105813590097</v>
      </c>
      <c r="L28" s="335">
        <f>'8. PED &amp; Cycling'!J27</f>
        <v>1378.8036823390296</v>
      </c>
      <c r="M28" s="336">
        <f t="shared" si="0"/>
        <v>4466340.0096952925</v>
      </c>
    </row>
    <row r="29" spans="2:13">
      <c r="B29" s="202">
        <v>24</v>
      </c>
      <c r="C29" s="201">
        <v>2046</v>
      </c>
      <c r="D29" s="206">
        <v>0</v>
      </c>
      <c r="E29" s="209">
        <f>'1. Travel Time Savings'!G28</f>
        <v>2444960.0096112979</v>
      </c>
      <c r="F29" s="209">
        <f>'2. Safety'!I28</f>
        <v>962101.85126055719</v>
      </c>
      <c r="G29" s="209">
        <f>'3. Emissions'!P29</f>
        <v>108532.90913273706</v>
      </c>
      <c r="H29" s="209">
        <f>'4. O&amp;M'!Q28</f>
        <v>7132.8883461114337</v>
      </c>
      <c r="I29" s="209">
        <f>'5. SOGR'!G28</f>
        <v>0</v>
      </c>
      <c r="J29" s="209">
        <f>'6. Reliability'!H28</f>
        <v>426291.15530091978</v>
      </c>
      <c r="K29" s="209">
        <f>' 7. Noise'!G28</f>
        <v>77623.004686803091</v>
      </c>
      <c r="L29" s="210">
        <f>'8. PED &amp; Cycling'!J28</f>
        <v>1288.6015722794671</v>
      </c>
      <c r="M29" s="211">
        <f t="shared" si="0"/>
        <v>4027930.4199107061</v>
      </c>
    </row>
    <row r="30" spans="2:13">
      <c r="B30" s="331">
        <v>25</v>
      </c>
      <c r="C30" s="332">
        <v>2047</v>
      </c>
      <c r="D30" s="333">
        <v>0</v>
      </c>
      <c r="E30" s="334">
        <f>'1. Travel Time Savings'!G29</f>
        <v>2379858.553990745</v>
      </c>
      <c r="F30" s="334">
        <f>'2. Safety'!I29</f>
        <v>899160.60865472618</v>
      </c>
      <c r="G30" s="334">
        <f>'3. Emissions'!P30</f>
        <v>106161.15415426114</v>
      </c>
      <c r="H30" s="334">
        <f>'4. O&amp;M'!Q29</f>
        <v>6666.2507907583486</v>
      </c>
      <c r="I30" s="334">
        <f>'5. SOGR'!G29</f>
        <v>-862097.54041360505</v>
      </c>
      <c r="J30" s="334">
        <f>'6. Reliability'!H29</f>
        <v>408970.93850969506</v>
      </c>
      <c r="K30" s="334">
        <f>' 7. Noise'!G29</f>
        <v>73264.149022769241</v>
      </c>
      <c r="L30" s="335">
        <f>'8. PED &amp; Cycling'!J29</f>
        <v>1204.3005348406232</v>
      </c>
      <c r="M30" s="336">
        <f t="shared" si="0"/>
        <v>3013188.415244191</v>
      </c>
    </row>
    <row r="31" spans="2:13">
      <c r="B31" s="202">
        <v>26</v>
      </c>
      <c r="C31" s="201">
        <v>2048</v>
      </c>
      <c r="D31" s="206">
        <v>0</v>
      </c>
      <c r="E31" s="209">
        <f>'1. Travel Time Savings'!G30</f>
        <v>2312810.9843033422</v>
      </c>
      <c r="F31" s="209">
        <f>'2. Safety'!I30</f>
        <v>840337.01743432367</v>
      </c>
      <c r="G31" s="209">
        <f>'3. Emissions'!P31</f>
        <v>103188.68102654887</v>
      </c>
      <c r="H31" s="209">
        <f>'4. O&amp;M'!Q30</f>
        <v>6230.1409259423826</v>
      </c>
      <c r="I31" s="209">
        <f>'5. SOGR'!G30</f>
        <v>331446.46920785244</v>
      </c>
      <c r="J31" s="209">
        <f>'6. Reliability'!H30</f>
        <v>392092.45620563172</v>
      </c>
      <c r="K31" s="209">
        <f>' 7. Noise'!G30</f>
        <v>69143.396123611761</v>
      </c>
      <c r="L31" s="210">
        <f>'8. PED &amp; Cycling'!J30</f>
        <v>1125.5145185426388</v>
      </c>
      <c r="M31" s="211">
        <f t="shared" si="0"/>
        <v>4056374.6597457961</v>
      </c>
    </row>
    <row r="32" spans="2:13">
      <c r="B32" s="331">
        <v>27</v>
      </c>
      <c r="C32" s="332">
        <v>2049</v>
      </c>
      <c r="D32" s="333">
        <v>0</v>
      </c>
      <c r="E32" s="334">
        <f>'1. Travel Time Savings'!G31</f>
        <v>2244350.5567459231</v>
      </c>
      <c r="F32" s="334">
        <f>'2. Safety'!I31</f>
        <v>785361.69853675109</v>
      </c>
      <c r="G32" s="334">
        <f>'3. Emissions'!P32</f>
        <v>100183.24835990979</v>
      </c>
      <c r="H32" s="334">
        <f>'4. O&amp;M'!Q31</f>
        <v>5822.5616130302642</v>
      </c>
      <c r="I32" s="334">
        <f>'5. SOGR'!G31</f>
        <v>0</v>
      </c>
      <c r="J32" s="334">
        <f>'6. Reliability'!H31</f>
        <v>375672.03927885118</v>
      </c>
      <c r="K32" s="334">
        <f>' 7. Noise'!G31</f>
        <v>65248.247603947857</v>
      </c>
      <c r="L32" s="335">
        <f>'8. PED &amp; Cycling'!J31</f>
        <v>1051.8827276099428</v>
      </c>
      <c r="M32" s="336">
        <f t="shared" si="0"/>
        <v>3577690.2348660231</v>
      </c>
    </row>
    <row r="33" spans="2:13">
      <c r="B33" s="202">
        <v>28</v>
      </c>
      <c r="C33" s="201">
        <v>2050</v>
      </c>
      <c r="D33" s="206">
        <v>0</v>
      </c>
      <c r="E33" s="209">
        <f>'1. Travel Time Savings'!G32</f>
        <v>2174949.0847523222</v>
      </c>
      <c r="F33" s="209">
        <f>'2. Safety'!I32</f>
        <v>701863.84587182966</v>
      </c>
      <c r="G33" s="209">
        <f>'3. Emissions'!P33</f>
        <v>97159.765984395199</v>
      </c>
      <c r="H33" s="209">
        <f>'4. O&amp;M'!Q32</f>
        <v>5441.6463673180042</v>
      </c>
      <c r="I33" s="209">
        <f>'5. SOGR'!G32</f>
        <v>201582.84127371805</v>
      </c>
      <c r="J33" s="209">
        <f>'6. Reliability'!H32</f>
        <v>359721.99131025403</v>
      </c>
      <c r="K33" s="209">
        <f>' 7. Noise'!G32</f>
        <v>61566.821337092028</v>
      </c>
      <c r="L33" s="210">
        <f>'8. PED &amp; Cycling'!J32</f>
        <v>983.06796972891846</v>
      </c>
      <c r="M33" s="211">
        <f t="shared" si="0"/>
        <v>3603269.0648666578</v>
      </c>
    </row>
    <row r="34" spans="2:13">
      <c r="B34" s="331">
        <v>29</v>
      </c>
      <c r="C34" s="332">
        <v>2051</v>
      </c>
      <c r="D34" s="333">
        <v>0</v>
      </c>
      <c r="E34" s="334">
        <f>'1. Travel Time Savings'!G33</f>
        <v>2105022.695976981</v>
      </c>
      <c r="F34" s="334">
        <f>'2. Safety'!I33</f>
        <v>685017.51559280918</v>
      </c>
      <c r="G34" s="334">
        <f>'3. Emissions'!P34</f>
        <v>94131.472950615309</v>
      </c>
      <c r="H34" s="334">
        <f>'4. O&amp;M'!Q33</f>
        <v>5085.6508105775729</v>
      </c>
      <c r="I34" s="334">
        <f>'5. SOGR'!G33</f>
        <v>0</v>
      </c>
      <c r="J34" s="334">
        <f>'6. Reliability'!H33</f>
        <v>344251.04561541823</v>
      </c>
      <c r="K34" s="334">
        <f>' 7. Noise'!G33</f>
        <v>58087.824314288649</v>
      </c>
      <c r="L34" s="335">
        <f>'8. PED &amp; Cycling'!J33</f>
        <v>918.75511189618533</v>
      </c>
      <c r="M34" s="336">
        <f t="shared" si="0"/>
        <v>3292514.9603725863</v>
      </c>
    </row>
    <row r="35" spans="2:13" ht="15.75" thickBot="1">
      <c r="B35" s="204">
        <v>30</v>
      </c>
      <c r="C35" s="205">
        <v>2052</v>
      </c>
      <c r="D35" s="206">
        <v>0</v>
      </c>
      <c r="E35" s="209">
        <f>'1. Travel Time Savings'!G34</f>
        <v>2034937.0989941633</v>
      </c>
      <c r="F35" s="209">
        <f>'2. Safety'!I34</f>
        <v>640203.2856007563</v>
      </c>
      <c r="G35" s="209">
        <f>'3. Emissions'!P35</f>
        <v>91110.083232571953</v>
      </c>
      <c r="H35" s="209">
        <f>'4. O&amp;M'!Q34</f>
        <v>5026907.713335285</v>
      </c>
      <c r="I35" s="209">
        <f>'5. SOGR'!G34</f>
        <v>-890354.54887697136</v>
      </c>
      <c r="J35" s="209">
        <f>'6. Reliability'!H34</f>
        <v>329264.77972464071</v>
      </c>
      <c r="K35" s="209">
        <f>' 7. Noise'!G34</f>
        <v>54800.526417578556</v>
      </c>
      <c r="L35" s="210">
        <f>'8. PED &amp; Cycling'!J34</f>
        <v>858.64963728615464</v>
      </c>
      <c r="M35" s="258">
        <f t="shared" si="0"/>
        <v>7287727.5880653113</v>
      </c>
    </row>
    <row r="36" spans="2:13" ht="33" customHeight="1" thickBot="1">
      <c r="B36" s="520" t="s">
        <v>65</v>
      </c>
      <c r="C36" s="520"/>
      <c r="D36" s="213">
        <f>SUM(D5:D35)</f>
        <v>74975071.466269374</v>
      </c>
      <c r="E36" s="212">
        <f t="shared" ref="E36:M36" si="1">SUM(E5:E35)</f>
        <v>65742141.346772417</v>
      </c>
      <c r="F36" s="212">
        <f t="shared" si="1"/>
        <v>38061503.337072767</v>
      </c>
      <c r="G36" s="212">
        <f t="shared" si="1"/>
        <v>3096600.0433877772</v>
      </c>
      <c r="H36" s="212">
        <f t="shared" si="1"/>
        <v>5332917.3441592306</v>
      </c>
      <c r="I36" s="212">
        <f t="shared" si="1"/>
        <v>440467.72429739486</v>
      </c>
      <c r="J36" s="212">
        <f t="shared" si="1"/>
        <v>14273074.629121793</v>
      </c>
      <c r="K36" s="212">
        <f t="shared" si="1"/>
        <v>3319506.0411022161</v>
      </c>
      <c r="L36" s="212">
        <f t="shared" si="1"/>
        <v>54308.763293581556</v>
      </c>
      <c r="M36" s="212">
        <f t="shared" si="1"/>
        <v>130320519.22920719</v>
      </c>
    </row>
    <row r="37" spans="2:13" ht="34.9" customHeight="1" thickBot="1">
      <c r="B37" s="510" t="s">
        <v>66</v>
      </c>
      <c r="C37" s="511"/>
      <c r="D37" s="511"/>
      <c r="E37" s="511"/>
      <c r="F37" s="511"/>
      <c r="G37" s="511"/>
      <c r="H37" s="511"/>
      <c r="I37" s="511"/>
      <c r="J37" s="511"/>
      <c r="K37" s="511"/>
      <c r="L37" s="512">
        <f>M36/D36</f>
        <v>1.7381846616556711</v>
      </c>
      <c r="M37" s="513"/>
    </row>
  </sheetData>
  <mergeCells count="8">
    <mergeCell ref="B2:M2"/>
    <mergeCell ref="B37:K37"/>
    <mergeCell ref="L37:M37"/>
    <mergeCell ref="B3:C4"/>
    <mergeCell ref="D3:D4"/>
    <mergeCell ref="B36:C36"/>
    <mergeCell ref="E3:L3"/>
    <mergeCell ref="M3:M4"/>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8D813-31BF-483E-BBDA-29487DBAF9C5}">
  <sheetPr>
    <tabColor rgb="FF0096D6"/>
    <pageSetUpPr fitToPage="1"/>
  </sheetPr>
  <dimension ref="B1:G37"/>
  <sheetViews>
    <sheetView zoomScale="85" zoomScaleNormal="85" workbookViewId="0">
      <selection activeCell="D17" sqref="D17"/>
    </sheetView>
  </sheetViews>
  <sheetFormatPr defaultRowHeight="15"/>
  <cols>
    <col min="2" max="2" width="8.7109375" customWidth="1"/>
    <col min="3" max="4" width="17.85546875" customWidth="1"/>
    <col min="5" max="5" width="15.7109375" customWidth="1"/>
    <col min="6" max="6" width="20.140625" bestFit="1" customWidth="1"/>
    <col min="7" max="7" width="22" customWidth="1"/>
    <col min="10" max="10" width="17.42578125" bestFit="1" customWidth="1"/>
    <col min="11" max="11" width="12.85546875" customWidth="1"/>
    <col min="12" max="12" width="17.85546875" customWidth="1"/>
    <col min="13" max="13" width="16.140625" customWidth="1"/>
    <col min="14" max="14" width="24" bestFit="1" customWidth="1"/>
  </cols>
  <sheetData>
    <row r="1" spans="2:7" ht="15.75" thickBot="1"/>
    <row r="2" spans="2:7" ht="24.95" customHeight="1">
      <c r="B2" s="525" t="s">
        <v>67</v>
      </c>
      <c r="C2" s="526"/>
      <c r="D2" s="526"/>
      <c r="E2" s="526"/>
      <c r="F2" s="526"/>
      <c r="G2" s="527"/>
    </row>
    <row r="3" spans="2:7" ht="51">
      <c r="B3" s="280" t="s">
        <v>52</v>
      </c>
      <c r="C3" s="281" t="s">
        <v>68</v>
      </c>
      <c r="D3" s="281" t="s">
        <v>69</v>
      </c>
      <c r="E3" s="281" t="s">
        <v>70</v>
      </c>
      <c r="F3" s="282" t="s">
        <v>71</v>
      </c>
      <c r="G3" s="283" t="s">
        <v>72</v>
      </c>
    </row>
    <row r="4" spans="2:7">
      <c r="B4" s="269">
        <v>0</v>
      </c>
      <c r="C4" s="270">
        <v>2022</v>
      </c>
      <c r="D4" s="271">
        <v>0</v>
      </c>
      <c r="E4" s="271">
        <v>0</v>
      </c>
      <c r="F4" s="272">
        <v>0</v>
      </c>
      <c r="G4" s="273">
        <f>F4/(1.07^(C4-2020))</f>
        <v>0</v>
      </c>
    </row>
    <row r="5" spans="2:7">
      <c r="B5" s="356">
        <v>1</v>
      </c>
      <c r="C5" s="357">
        <v>2023</v>
      </c>
      <c r="D5" s="358">
        <v>0</v>
      </c>
      <c r="E5" s="358">
        <v>0</v>
      </c>
      <c r="F5" s="359">
        <v>0</v>
      </c>
      <c r="G5" s="360">
        <f t="shared" ref="G5:G34" si="0">F5/(1.07^(C5-2020))</f>
        <v>0</v>
      </c>
    </row>
    <row r="6" spans="2:7">
      <c r="B6" s="269">
        <v>2</v>
      </c>
      <c r="C6" s="270">
        <v>2024</v>
      </c>
      <c r="D6" s="271">
        <v>0</v>
      </c>
      <c r="E6" s="271">
        <v>0</v>
      </c>
      <c r="F6" s="272">
        <v>0</v>
      </c>
      <c r="G6" s="273">
        <f t="shared" si="0"/>
        <v>0</v>
      </c>
    </row>
    <row r="7" spans="2:7">
      <c r="B7" s="356">
        <v>3</v>
      </c>
      <c r="C7" s="357" t="s">
        <v>62</v>
      </c>
      <c r="D7" s="361"/>
      <c r="E7" s="362"/>
      <c r="F7" s="359">
        <f>(D7*'Fixed Inputs &amp; Assumptions'!$C$44)+(E7*'Fixed Inputs &amp; Assumptions'!$C$46)</f>
        <v>0</v>
      </c>
      <c r="G7" s="360">
        <f>F7/(1.07^(2025-2020))</f>
        <v>0</v>
      </c>
    </row>
    <row r="8" spans="2:7">
      <c r="B8" s="269">
        <v>4</v>
      </c>
      <c r="C8" s="270" t="s">
        <v>63</v>
      </c>
      <c r="D8" s="274">
        <f>(('Traffic Inputs'!$G$84+'Traffic Inputs'!$E$93)*'Fixed Inputs &amp; Assumptions'!$C$34)*(1/'Fixed Inputs &amp; Assumptions'!$C$31)</f>
        <v>44891.653289276685</v>
      </c>
      <c r="E8" s="274">
        <f>(('Traffic Inputs'!$G$84+'Traffic Inputs'!$E$93)*'Fixed Inputs &amp; Assumptions'!$C$33)*(1/'Fixed Inputs &amp; Assumptions'!$C$31)</f>
        <v>15772.743047583703</v>
      </c>
      <c r="F8" s="272">
        <f>(D8*'Fixed Inputs &amp; Assumptions'!$C$44)+(E8*'Fixed Inputs &amp; Assumptions'!$C$46)</f>
        <v>1303799.2060718033</v>
      </c>
      <c r="G8" s="273">
        <f>F8/(1.07^(2026-2020))</f>
        <v>868776.4623840889</v>
      </c>
    </row>
    <row r="9" spans="2:7">
      <c r="B9" s="356">
        <v>5</v>
      </c>
      <c r="C9" s="357" t="s">
        <v>64</v>
      </c>
      <c r="D9" s="361">
        <f>('Traffic Inputs'!$G$84+(2*'Traffic Inputs'!$E$93))*'Fixed Inputs &amp; Assumptions'!$C$34*(2/'Fixed Inputs &amp; Assumptions'!$C$31)</f>
        <v>103312.10715038568</v>
      </c>
      <c r="E9" s="361">
        <f>('Traffic Inputs'!$G$84+(2*'Traffic Inputs'!$E$93))*'Fixed Inputs &amp; Assumptions'!$C$33*(2/'Fixed Inputs &amp; Assumptions'!$C$31)</f>
        <v>36298.848458243621</v>
      </c>
      <c r="F9" s="359">
        <f>(D9*'Fixed Inputs &amp; Assumptions'!$C$44)+(E9*'Fixed Inputs &amp; Assumptions'!$C$46)</f>
        <v>3000518.6579406611</v>
      </c>
      <c r="G9" s="360">
        <f>F9/(1.07^(2027-2020))</f>
        <v>1868572.2197524465</v>
      </c>
    </row>
    <row r="10" spans="2:7">
      <c r="B10" s="269">
        <v>6</v>
      </c>
      <c r="C10" s="270">
        <v>2028</v>
      </c>
      <c r="D10" s="274">
        <f>D9+('Traffic Inputs'!$E$93*'Fixed Inputs &amp; Assumptions'!$C$34)</f>
        <v>123605.30800813416</v>
      </c>
      <c r="E10" s="275">
        <f>E9+('Traffic Inputs'!$E$93*'Fixed Inputs &amp; Assumptions'!$C$33)</f>
        <v>43428.892002857952</v>
      </c>
      <c r="F10" s="272">
        <f>(D10*'Fixed Inputs &amp; Assumptions'!$C$44)+(E10*'Fixed Inputs &amp; Assumptions'!$C$46)</f>
        <v>3589899.0266362429</v>
      </c>
      <c r="G10" s="273">
        <f t="shared" si="0"/>
        <v>2089353.9179714627</v>
      </c>
    </row>
    <row r="11" spans="2:7">
      <c r="B11" s="356">
        <v>7</v>
      </c>
      <c r="C11" s="357">
        <v>2029</v>
      </c>
      <c r="D11" s="361">
        <f>D10+('Traffic Inputs'!$E$93*'Fixed Inputs &amp; Assumptions'!$C$34)</f>
        <v>143898.50886588264</v>
      </c>
      <c r="E11" s="362">
        <f>E10+('Traffic Inputs'!$E$93*'Fixed Inputs &amp; Assumptions'!$C$33)</f>
        <v>50558.935547472283</v>
      </c>
      <c r="F11" s="359">
        <f>(D11*'Fixed Inputs &amp; Assumptions'!$C$44)+(E11*'Fixed Inputs &amp; Assumptions'!$C$46)</f>
        <v>4179279.3953318242</v>
      </c>
      <c r="G11" s="360">
        <f t="shared" si="0"/>
        <v>2273251.082807654</v>
      </c>
    </row>
    <row r="12" spans="2:7">
      <c r="B12" s="269">
        <v>8</v>
      </c>
      <c r="C12" s="270">
        <v>2030</v>
      </c>
      <c r="D12" s="274">
        <f>D11+('Traffic Inputs'!$E$93*'Fixed Inputs &amp; Assumptions'!$C$34)</f>
        <v>164191.70972363112</v>
      </c>
      <c r="E12" s="275">
        <f>E11+('Traffic Inputs'!$E$93*'Fixed Inputs &amp; Assumptions'!$C$33)</f>
        <v>57688.979092086614</v>
      </c>
      <c r="F12" s="272">
        <f>(D12*'Fixed Inputs &amp; Assumptions'!$C$44)+(E12*'Fixed Inputs &amp; Assumptions'!$C$46)</f>
        <v>4768659.7640274055</v>
      </c>
      <c r="G12" s="273">
        <f t="shared" si="0"/>
        <v>2424144.815474642</v>
      </c>
    </row>
    <row r="13" spans="2:7">
      <c r="B13" s="356">
        <v>9</v>
      </c>
      <c r="C13" s="357">
        <v>2031</v>
      </c>
      <c r="D13" s="361">
        <f>D12+('Traffic Inputs'!$E$93*'Fixed Inputs &amp; Assumptions'!$C$34)</f>
        <v>184484.9105813796</v>
      </c>
      <c r="E13" s="362">
        <f>E12+('Traffic Inputs'!$E$93*'Fixed Inputs &amp; Assumptions'!$C$33)</f>
        <v>64819.022636700945</v>
      </c>
      <c r="F13" s="359">
        <f>(D13*'Fixed Inputs &amp; Assumptions'!$C$44)+(E13*'Fixed Inputs &amp; Assumptions'!$C$46)</f>
        <v>5358040.1327229869</v>
      </c>
      <c r="G13" s="360">
        <f t="shared" si="0"/>
        <v>2545566.2698122798</v>
      </c>
    </row>
    <row r="14" spans="2:7">
      <c r="B14" s="269">
        <v>10</v>
      </c>
      <c r="C14" s="270">
        <v>2032</v>
      </c>
      <c r="D14" s="274">
        <f>D13+('Traffic Inputs'!$E$93*'Fixed Inputs &amp; Assumptions'!$C$34)</f>
        <v>204778.11143912809</v>
      </c>
      <c r="E14" s="275">
        <f>E13+('Traffic Inputs'!$E$93*'Fixed Inputs &amp; Assumptions'!$C$33)</f>
        <v>71949.066181315269</v>
      </c>
      <c r="F14" s="272">
        <f>(D14*'Fixed Inputs &amp; Assumptions'!$C$44)+(E14*'Fixed Inputs &amp; Assumptions'!$C$46)</f>
        <v>5947420.5014185682</v>
      </c>
      <c r="G14" s="273">
        <f t="shared" si="0"/>
        <v>2640725.8292633747</v>
      </c>
    </row>
    <row r="15" spans="2:7">
      <c r="B15" s="356">
        <v>11</v>
      </c>
      <c r="C15" s="357">
        <v>2033</v>
      </c>
      <c r="D15" s="361">
        <f>D14+('Traffic Inputs'!$E$93*'Fixed Inputs &amp; Assumptions'!$C$34)</f>
        <v>225071.31229687657</v>
      </c>
      <c r="E15" s="362">
        <f>E14+('Traffic Inputs'!$E$93*'Fixed Inputs &amp; Assumptions'!$C$33)</f>
        <v>79079.109725929593</v>
      </c>
      <c r="F15" s="359">
        <f>(D15*'Fixed Inputs &amp; Assumptions'!$C$44)+(E15*'Fixed Inputs &amp; Assumptions'!$C$46)</f>
        <v>6536800.8701141495</v>
      </c>
      <c r="G15" s="360">
        <f t="shared" si="0"/>
        <v>2712539.9640242304</v>
      </c>
    </row>
    <row r="16" spans="2:7">
      <c r="B16" s="269">
        <v>12</v>
      </c>
      <c r="C16" s="270">
        <v>2034</v>
      </c>
      <c r="D16" s="274">
        <f>D15+('Traffic Inputs'!$E$93*'Fixed Inputs &amp; Assumptions'!$C$34)</f>
        <v>245364.51315462505</v>
      </c>
      <c r="E16" s="275">
        <f>E15+('Traffic Inputs'!$E$93*'Fixed Inputs &amp; Assumptions'!$C$33)</f>
        <v>86209.153270543917</v>
      </c>
      <c r="F16" s="272">
        <f>(D16*'Fixed Inputs &amp; Assumptions'!$C$44)+(E16*'Fixed Inputs &amp; Assumptions'!$C$46)</f>
        <v>7126181.2388097309</v>
      </c>
      <c r="G16" s="273">
        <f t="shared" si="0"/>
        <v>2763655.9470246122</v>
      </c>
    </row>
    <row r="17" spans="2:7">
      <c r="B17" s="356">
        <v>13</v>
      </c>
      <c r="C17" s="357">
        <v>2035</v>
      </c>
      <c r="D17" s="361">
        <f>D16+('Traffic Inputs'!$E$93*'Fixed Inputs &amp; Assumptions'!$C$34)</f>
        <v>265657.71401237353</v>
      </c>
      <c r="E17" s="362">
        <f>E16+('Traffic Inputs'!$E$93*'Fixed Inputs &amp; Assumptions'!$C$33)</f>
        <v>93339.19681515824</v>
      </c>
      <c r="F17" s="359">
        <f>(D17*'Fixed Inputs &amp; Assumptions'!$C$44)+(E17*'Fixed Inputs &amp; Assumptions'!$C$46)</f>
        <v>7715561.6075053131</v>
      </c>
      <c r="G17" s="360">
        <f t="shared" si="0"/>
        <v>2796474.5939457067</v>
      </c>
    </row>
    <row r="18" spans="2:7">
      <c r="B18" s="269">
        <v>14</v>
      </c>
      <c r="C18" s="270">
        <v>2036</v>
      </c>
      <c r="D18" s="274">
        <f>D17+('Traffic Inputs'!$E$93*'Fixed Inputs &amp; Assumptions'!$C$34)</f>
        <v>285950.91487012198</v>
      </c>
      <c r="E18" s="275">
        <f>E17+('Traffic Inputs'!$E$93*'Fixed Inputs &amp; Assumptions'!$C$33)</f>
        <v>100469.24035977256</v>
      </c>
      <c r="F18" s="272">
        <f>(D18*'Fixed Inputs &amp; Assumptions'!$C$44)+(E18*'Fixed Inputs &amp; Assumptions'!$C$46)</f>
        <v>8304941.9762008935</v>
      </c>
      <c r="G18" s="273">
        <f t="shared" si="0"/>
        <v>2813171.1800324921</v>
      </c>
    </row>
    <row r="19" spans="2:7">
      <c r="B19" s="356">
        <v>15</v>
      </c>
      <c r="C19" s="357">
        <v>2037</v>
      </c>
      <c r="D19" s="361">
        <f>D18+('Traffic Inputs'!$E$93*'Fixed Inputs &amp; Assumptions'!$C$34)</f>
        <v>306244.11572787043</v>
      </c>
      <c r="E19" s="362">
        <f>E18+('Traffic Inputs'!$E$93*'Fixed Inputs &amp; Assumptions'!$C$33)</f>
        <v>107599.28390438689</v>
      </c>
      <c r="F19" s="359">
        <f>(D19*'Fixed Inputs &amp; Assumptions'!$C$44)+(E19*'Fixed Inputs &amp; Assumptions'!$C$46)</f>
        <v>8894322.344896473</v>
      </c>
      <c r="G19" s="360">
        <f t="shared" si="0"/>
        <v>2815714.6749269157</v>
      </c>
    </row>
    <row r="20" spans="2:7">
      <c r="B20" s="269">
        <v>16</v>
      </c>
      <c r="C20" s="270">
        <v>2038</v>
      </c>
      <c r="D20" s="274">
        <f>D19+('Traffic Inputs'!$E$93*'Fixed Inputs &amp; Assumptions'!$C$34)</f>
        <v>326537.31658561889</v>
      </c>
      <c r="E20" s="275">
        <f>E19+('Traffic Inputs'!$E$93*'Fixed Inputs &amp; Assumptions'!$C$33)</f>
        <v>114729.32744900121</v>
      </c>
      <c r="F20" s="272">
        <f>(D20*'Fixed Inputs &amp; Assumptions'!$C$44)+(E20*'Fixed Inputs &amp; Assumptions'!$C$46)</f>
        <v>9483702.7135920543</v>
      </c>
      <c r="G20" s="273">
        <f t="shared" si="0"/>
        <v>2805885.4260731139</v>
      </c>
    </row>
    <row r="21" spans="2:7">
      <c r="B21" s="356">
        <v>17</v>
      </c>
      <c r="C21" s="357">
        <v>2039</v>
      </c>
      <c r="D21" s="361">
        <f>D20+('Traffic Inputs'!$E$93*'Fixed Inputs &amp; Assumptions'!$C$34)</f>
        <v>346830.51744336734</v>
      </c>
      <c r="E21" s="362">
        <f>E20+('Traffic Inputs'!$E$93*'Fixed Inputs &amp; Assumptions'!$C$33)</f>
        <v>121859.37099361554</v>
      </c>
      <c r="F21" s="359">
        <f>(D21*'Fixed Inputs &amp; Assumptions'!$C$44)+(E21*'Fixed Inputs &amp; Assumptions'!$C$46)</f>
        <v>10073083.082287636</v>
      </c>
      <c r="G21" s="360">
        <f t="shared" si="0"/>
        <v>2785291.4113630429</v>
      </c>
    </row>
    <row r="22" spans="2:7">
      <c r="B22" s="269">
        <v>18</v>
      </c>
      <c r="C22" s="270">
        <v>2040</v>
      </c>
      <c r="D22" s="274">
        <f>D21+('Traffic Inputs'!$E$93*'Fixed Inputs &amp; Assumptions'!$C$34)</f>
        <v>367123.71830111579</v>
      </c>
      <c r="E22" s="275">
        <f>E21+('Traffic Inputs'!$E$93*'Fixed Inputs &amp; Assumptions'!$C$33)</f>
        <v>128989.41453822986</v>
      </c>
      <c r="F22" s="272">
        <f>(D22*'Fixed Inputs &amp; Assumptions'!$C$44)+(E22*'Fixed Inputs &amp; Assumptions'!$C$46)</f>
        <v>10662463.450983217</v>
      </c>
      <c r="G22" s="273">
        <f t="shared" si="0"/>
        <v>2755383.1725424039</v>
      </c>
    </row>
    <row r="23" spans="2:7">
      <c r="B23" s="356">
        <v>19</v>
      </c>
      <c r="C23" s="357">
        <v>2041</v>
      </c>
      <c r="D23" s="361">
        <f>D22+('Traffic Inputs'!$E$93*'Fixed Inputs &amp; Assumptions'!$C$34)</f>
        <v>387416.91915886424</v>
      </c>
      <c r="E23" s="362">
        <f>E22+('Traffic Inputs'!$E$93*'Fixed Inputs &amp; Assumptions'!$C$33)</f>
        <v>136119.45808284418</v>
      </c>
      <c r="F23" s="359">
        <f>(D23*'Fixed Inputs &amp; Assumptions'!$C$44)+(E23*'Fixed Inputs &amp; Assumptions'!$C$46)</f>
        <v>11251843.819678798</v>
      </c>
      <c r="G23" s="360">
        <f t="shared" si="0"/>
        <v>2717467.5324287722</v>
      </c>
    </row>
    <row r="24" spans="2:7">
      <c r="B24" s="269">
        <v>20</v>
      </c>
      <c r="C24" s="270">
        <v>2042</v>
      </c>
      <c r="D24" s="274">
        <f>D23+('Traffic Inputs'!$E$93*'Fixed Inputs &amp; Assumptions'!$C$34)</f>
        <v>407710.12001661269</v>
      </c>
      <c r="E24" s="275">
        <f>E23+('Traffic Inputs'!$E$93*'Fixed Inputs &amp; Assumptions'!$C$33)</f>
        <v>143249.50162745852</v>
      </c>
      <c r="F24" s="272">
        <f>(D24*'Fixed Inputs &amp; Assumptions'!$C$44)+(E24*'Fixed Inputs &amp; Assumptions'!$C$46)</f>
        <v>11841224.188374378</v>
      </c>
      <c r="G24" s="273">
        <f t="shared" si="0"/>
        <v>2672720.1911565801</v>
      </c>
    </row>
    <row r="25" spans="2:7">
      <c r="B25" s="356">
        <v>21</v>
      </c>
      <c r="C25" s="357">
        <v>2043</v>
      </c>
      <c r="D25" s="361">
        <f>D24+('Traffic Inputs'!$E$93*'Fixed Inputs &amp; Assumptions'!$C$34)</f>
        <v>428003.32087436115</v>
      </c>
      <c r="E25" s="362">
        <f>E24+('Traffic Inputs'!$E$93*'Fixed Inputs &amp; Assumptions'!$C$33)</f>
        <v>150379.54517207286</v>
      </c>
      <c r="F25" s="359">
        <f>(D25*'Fixed Inputs &amp; Assumptions'!$C$44)+(E25*'Fixed Inputs &amp; Assumptions'!$C$46)</f>
        <v>12430604.557069961</v>
      </c>
      <c r="G25" s="360">
        <f t="shared" si="0"/>
        <v>2622197.2894106992</v>
      </c>
    </row>
    <row r="26" spans="2:7">
      <c r="B26" s="269">
        <v>22</v>
      </c>
      <c r="C26" s="270">
        <v>2044</v>
      </c>
      <c r="D26" s="274">
        <f>D25+('Traffic Inputs'!$E$93*'Fixed Inputs &amp; Assumptions'!$C$34)</f>
        <v>448296.5217321096</v>
      </c>
      <c r="E26" s="275">
        <f>E25+('Traffic Inputs'!$E$93*'Fixed Inputs &amp; Assumptions'!$C$33)</f>
        <v>157509.5887166872</v>
      </c>
      <c r="F26" s="272">
        <f>(D26*'Fixed Inputs &amp; Assumptions'!$C$44)+(E26*'Fixed Inputs &amp; Assumptions'!$C$46)</f>
        <v>13019984.92576554</v>
      </c>
      <c r="G26" s="273">
        <f t="shared" si="0"/>
        <v>2566846.0198989566</v>
      </c>
    </row>
    <row r="27" spans="2:7">
      <c r="B27" s="356">
        <v>23</v>
      </c>
      <c r="C27" s="357">
        <v>2045</v>
      </c>
      <c r="D27" s="361">
        <f>D26+('Traffic Inputs'!$E$93*'Fixed Inputs &amp; Assumptions'!$C$34)</f>
        <v>468589.72258985805</v>
      </c>
      <c r="E27" s="362">
        <f>E26+('Traffic Inputs'!$E$93*'Fixed Inputs &amp; Assumptions'!$C$33)</f>
        <v>164639.63226130154</v>
      </c>
      <c r="F27" s="359">
        <f>(D27*'Fixed Inputs &amp; Assumptions'!$C$44)+(E27*'Fixed Inputs &amp; Assumptions'!$C$46)</f>
        <v>13609365.294461124</v>
      </c>
      <c r="G27" s="360">
        <f t="shared" si="0"/>
        <v>2507514.3621041737</v>
      </c>
    </row>
    <row r="28" spans="2:7">
      <c r="B28" s="269">
        <v>24</v>
      </c>
      <c r="C28" s="270">
        <v>2046</v>
      </c>
      <c r="D28" s="274">
        <f>D27+('Traffic Inputs'!$E$93*'Fixed Inputs &amp; Assumptions'!$C$34)</f>
        <v>488882.9234476065</v>
      </c>
      <c r="E28" s="275">
        <f>E27+('Traffic Inputs'!$E$93*'Fixed Inputs &amp; Assumptions'!$C$33)</f>
        <v>171769.67580591587</v>
      </c>
      <c r="F28" s="272">
        <f>(D28*'Fixed Inputs &amp; Assumptions'!$C$44)+(E28*'Fixed Inputs &amp; Assumptions'!$C$46)</f>
        <v>14198745.663156703</v>
      </c>
      <c r="G28" s="273">
        <f t="shared" si="0"/>
        <v>2444960.0096112979</v>
      </c>
    </row>
    <row r="29" spans="2:7">
      <c r="B29" s="356">
        <v>25</v>
      </c>
      <c r="C29" s="357">
        <v>2047</v>
      </c>
      <c r="D29" s="361">
        <f>D28+('Traffic Inputs'!$E$93*'Fixed Inputs &amp; Assumptions'!$C$34)</f>
        <v>509176.12430535496</v>
      </c>
      <c r="E29" s="362">
        <f>E28+('Traffic Inputs'!$E$93*'Fixed Inputs &amp; Assumptions'!$C$33)</f>
        <v>178899.71935053021</v>
      </c>
      <c r="F29" s="359">
        <f>(D29*'Fixed Inputs &amp; Assumptions'!$C$44)+(E29*'Fixed Inputs &amp; Assumptions'!$C$46)</f>
        <v>14788126.031852286</v>
      </c>
      <c r="G29" s="360">
        <f t="shared" si="0"/>
        <v>2379858.553990745</v>
      </c>
    </row>
    <row r="30" spans="2:7">
      <c r="B30" s="269">
        <v>26</v>
      </c>
      <c r="C30" s="270">
        <v>2048</v>
      </c>
      <c r="D30" s="274">
        <f>D29+('Traffic Inputs'!$E$93*'Fixed Inputs &amp; Assumptions'!$C$34)</f>
        <v>529469.32516310341</v>
      </c>
      <c r="E30" s="275">
        <f>E29+('Traffic Inputs'!$E$93*'Fixed Inputs &amp; Assumptions'!$C$33)</f>
        <v>186029.76289514455</v>
      </c>
      <c r="F30" s="272">
        <f>(D30*'Fixed Inputs &amp; Assumptions'!$C$44)+(E30*'Fixed Inputs &amp; Assumptions'!$C$46)</f>
        <v>15377506.400547866</v>
      </c>
      <c r="G30" s="273">
        <f t="shared" si="0"/>
        <v>2312810.9843033422</v>
      </c>
    </row>
    <row r="31" spans="2:7">
      <c r="B31" s="356">
        <v>27</v>
      </c>
      <c r="C31" s="357">
        <v>2049</v>
      </c>
      <c r="D31" s="361">
        <f>D30+('Traffic Inputs'!$E$93*'Fixed Inputs &amp; Assumptions'!$C$34)</f>
        <v>549762.52602085192</v>
      </c>
      <c r="E31" s="362">
        <f>E30+('Traffic Inputs'!$E$93*'Fixed Inputs &amp; Assumptions'!$C$33)</f>
        <v>193159.80643975889</v>
      </c>
      <c r="F31" s="359">
        <f>(D31*'Fixed Inputs &amp; Assumptions'!$C$44)+(E31*'Fixed Inputs &amp; Assumptions'!$C$46)</f>
        <v>15966886.769243449</v>
      </c>
      <c r="G31" s="360">
        <f t="shared" si="0"/>
        <v>2244350.5567459231</v>
      </c>
    </row>
    <row r="32" spans="2:7">
      <c r="B32" s="269">
        <v>28</v>
      </c>
      <c r="C32" s="270">
        <v>2050</v>
      </c>
      <c r="D32" s="274">
        <f>D31+('Traffic Inputs'!$E$93*'Fixed Inputs &amp; Assumptions'!$C$34)</f>
        <v>570055.72687860043</v>
      </c>
      <c r="E32" s="275">
        <f>E31+('Traffic Inputs'!$E$93*'Fixed Inputs &amp; Assumptions'!$C$33)</f>
        <v>200289.84998437323</v>
      </c>
      <c r="F32" s="272">
        <f>(D32*'Fixed Inputs &amp; Assumptions'!$C$44)+(E32*'Fixed Inputs &amp; Assumptions'!$C$46)</f>
        <v>16556267.137939032</v>
      </c>
      <c r="G32" s="273">
        <f t="shared" si="0"/>
        <v>2174949.0847523222</v>
      </c>
    </row>
    <row r="33" spans="2:7">
      <c r="B33" s="356">
        <v>29</v>
      </c>
      <c r="C33" s="357">
        <v>2051</v>
      </c>
      <c r="D33" s="361">
        <f>D32+('Traffic Inputs'!$E$93*'Fixed Inputs &amp; Assumptions'!$C$34)</f>
        <v>590348.92773634894</v>
      </c>
      <c r="E33" s="362">
        <f>E32+('Traffic Inputs'!$E$93*'Fixed Inputs &amp; Assumptions'!$C$33)</f>
        <v>207419.89352898757</v>
      </c>
      <c r="F33" s="359">
        <f>(D33*'Fixed Inputs &amp; Assumptions'!$C$44)+(E33*'Fixed Inputs &amp; Assumptions'!$C$46)</f>
        <v>17145647.506634615</v>
      </c>
      <c r="G33" s="360">
        <f t="shared" si="0"/>
        <v>2105022.695976981</v>
      </c>
    </row>
    <row r="34" spans="2:7" ht="15.75" thickBot="1">
      <c r="B34" s="269">
        <v>30</v>
      </c>
      <c r="C34" s="270">
        <v>2052</v>
      </c>
      <c r="D34" s="274">
        <f>D33+('Traffic Inputs'!$E$93*'Fixed Inputs &amp; Assumptions'!$C$34)</f>
        <v>610642.12859409745</v>
      </c>
      <c r="E34" s="275">
        <f>E33+('Traffic Inputs'!$E$93*'Fixed Inputs &amp; Assumptions'!$C$33)</f>
        <v>214549.9370736019</v>
      </c>
      <c r="F34" s="272">
        <f>(D34*'Fixed Inputs &amp; Assumptions'!$C$44)+(E34*'Fixed Inputs &amp; Assumptions'!$C$46)</f>
        <v>17735027.875330195</v>
      </c>
      <c r="G34" s="276">
        <f t="shared" si="0"/>
        <v>2034937.0989941633</v>
      </c>
    </row>
    <row r="35" spans="2:7" ht="20.100000000000001" customHeight="1" thickBot="1">
      <c r="B35" s="528" t="s">
        <v>73</v>
      </c>
      <c r="C35" s="529"/>
      <c r="D35" s="529"/>
      <c r="E35" s="529"/>
      <c r="F35" s="530"/>
      <c r="G35" s="284">
        <f>SUM(G4:G34)</f>
        <v>65742141.346772417</v>
      </c>
    </row>
    <row r="36" spans="2:7">
      <c r="B36" t="s">
        <v>74</v>
      </c>
    </row>
    <row r="37" spans="2:7">
      <c r="B37" t="s">
        <v>75</v>
      </c>
    </row>
  </sheetData>
  <mergeCells count="2">
    <mergeCell ref="B2:G2"/>
    <mergeCell ref="B35:F35"/>
  </mergeCells>
  <pageMargins left="0.7" right="0.7" top="0.75" bottom="0.75" header="0.3" footer="0.3"/>
  <pageSetup scale="82"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0A758-757F-464B-B145-613D5996D7DE}">
  <sheetPr>
    <tabColor rgb="FF0096D6"/>
    <pageSetUpPr fitToPage="1"/>
  </sheetPr>
  <dimension ref="B1:I38"/>
  <sheetViews>
    <sheetView zoomScale="85" zoomScaleNormal="85" workbookViewId="0">
      <selection activeCell="I35" sqref="B2:I35"/>
    </sheetView>
  </sheetViews>
  <sheetFormatPr defaultRowHeight="15"/>
  <cols>
    <col min="2" max="2" width="8.7109375" customWidth="1"/>
    <col min="3" max="3" width="17.85546875" customWidth="1"/>
    <col min="4" max="7" width="15.7109375" customWidth="1"/>
    <col min="8" max="8" width="22.140625" customWidth="1"/>
    <col min="9" max="9" width="23.5703125" customWidth="1"/>
  </cols>
  <sheetData>
    <row r="1" spans="2:9" ht="15.75" thickBot="1"/>
    <row r="2" spans="2:9" ht="24.95" customHeight="1">
      <c r="B2" s="534" t="s">
        <v>76</v>
      </c>
      <c r="C2" s="535"/>
      <c r="D2" s="535"/>
      <c r="E2" s="535"/>
      <c r="F2" s="535"/>
      <c r="G2" s="535"/>
      <c r="H2" s="535"/>
      <c r="I2" s="536"/>
    </row>
    <row r="3" spans="2:9" ht="27" customHeight="1">
      <c r="B3" s="363"/>
      <c r="C3" s="364"/>
      <c r="D3" s="364" t="s">
        <v>77</v>
      </c>
      <c r="E3" s="364" t="s">
        <v>78</v>
      </c>
      <c r="F3" s="364" t="s">
        <v>79</v>
      </c>
      <c r="G3" s="364" t="s">
        <v>80</v>
      </c>
      <c r="H3" s="365" t="s">
        <v>71</v>
      </c>
      <c r="I3" s="366" t="s">
        <v>72</v>
      </c>
    </row>
    <row r="4" spans="2:9">
      <c r="B4" s="269">
        <v>0</v>
      </c>
      <c r="C4" s="270">
        <v>2022</v>
      </c>
      <c r="D4" s="409">
        <v>0</v>
      </c>
      <c r="E4" s="409">
        <v>0</v>
      </c>
      <c r="F4" s="409">
        <v>0</v>
      </c>
      <c r="G4" s="409">
        <v>0</v>
      </c>
      <c r="H4" s="272">
        <f>(D4*'Fixed Inputs &amp; Assumptions'!$C$56)+(E4*'Fixed Inputs &amp; Assumptions'!$C$55)+(F4*'Fixed Inputs &amp; Assumptions'!$C$53)+(G4*'Fixed Inputs &amp; Assumptions'!$C$52)</f>
        <v>0</v>
      </c>
      <c r="I4" s="285">
        <f>H4/(1.07^(C4-2020))</f>
        <v>0</v>
      </c>
    </row>
    <row r="5" spans="2:9">
      <c r="B5" s="356">
        <v>1</v>
      </c>
      <c r="C5" s="357">
        <v>2023</v>
      </c>
      <c r="D5" s="411">
        <v>0</v>
      </c>
      <c r="E5" s="411">
        <v>0</v>
      </c>
      <c r="F5" s="411">
        <v>0</v>
      </c>
      <c r="G5" s="411">
        <v>0</v>
      </c>
      <c r="H5" s="359">
        <f>(D5*'Fixed Inputs &amp; Assumptions'!$C$56)+(E5*'Fixed Inputs &amp; Assumptions'!$C$55)+(F5*'Fixed Inputs &amp; Assumptions'!$C$53)+(G5*'Fixed Inputs &amp; Assumptions'!$C$52)</f>
        <v>0</v>
      </c>
      <c r="I5" s="360">
        <f t="shared" ref="I5:I34" si="0">H5/(1.07^(C5-2020))</f>
        <v>0</v>
      </c>
    </row>
    <row r="6" spans="2:9">
      <c r="B6" s="269">
        <v>2</v>
      </c>
      <c r="C6" s="270">
        <v>2024</v>
      </c>
      <c r="D6" s="409">
        <v>0</v>
      </c>
      <c r="E6" s="409">
        <v>0</v>
      </c>
      <c r="F6" s="409">
        <v>0</v>
      </c>
      <c r="G6" s="409">
        <v>0</v>
      </c>
      <c r="H6" s="272">
        <f>(D6*'Fixed Inputs &amp; Assumptions'!$C$56)+(E6*'Fixed Inputs &amp; Assumptions'!$C$55)+(F6*'Fixed Inputs &amp; Assumptions'!$C$53)+(G6*'Fixed Inputs &amp; Assumptions'!$C$52)</f>
        <v>0</v>
      </c>
      <c r="I6" s="273">
        <f t="shared" si="0"/>
        <v>0</v>
      </c>
    </row>
    <row r="7" spans="2:9">
      <c r="B7" s="356">
        <v>3</v>
      </c>
      <c r="C7" s="357" t="s">
        <v>62</v>
      </c>
      <c r="D7" s="412">
        <v>0</v>
      </c>
      <c r="E7" s="412">
        <v>0</v>
      </c>
      <c r="F7" s="412">
        <v>0</v>
      </c>
      <c r="G7" s="412">
        <v>0</v>
      </c>
      <c r="H7" s="359">
        <f>(D7*'Fixed Inputs &amp; Assumptions'!$C$56)+(E7*'Fixed Inputs &amp; Assumptions'!$C$55)+(F7*'Fixed Inputs &amp; Assumptions'!$C$53)+(G7*'Fixed Inputs &amp; Assumptions'!$C$58)</f>
        <v>0</v>
      </c>
      <c r="I7" s="360">
        <f>H7/(1.07^(2025-2020))</f>
        <v>0</v>
      </c>
    </row>
    <row r="8" spans="2:9">
      <c r="B8" s="269">
        <v>4</v>
      </c>
      <c r="C8" s="270" t="s">
        <v>63</v>
      </c>
      <c r="D8" s="410">
        <f>((IF(('HSM Safety Inputs'!H$48+'HSM Safety Inputs'!H$55+'HSM Safety Inputs'!H$62)&gt;0,('HSM Safety Inputs'!H$48+'HSM Safety Inputs'!H$55+'HSM Safety Inputs'!H$62),0))+'[1]Queue Attributed Crashes'!$D$67)*(1/'Fixed Inputs &amp; Assumptions'!$C$31)</f>
        <v>9.5833333333333326E-2</v>
      </c>
      <c r="E8" s="410">
        <f>((IF(('HSM Safety Inputs'!H$49+'HSM Safety Inputs'!H$56+'HSM Safety Inputs'!H$63)&gt;0,('HSM Safety Inputs'!H$49+'HSM Safety Inputs'!H$56+'HSM Safety Inputs'!H$63),0))+'[1]Queue Attributed Crashes'!$E$67)*(1/'Fixed Inputs &amp; Assumptions'!$C$31)</f>
        <v>0.35416666666666663</v>
      </c>
      <c r="F8" s="410">
        <f>((IF(('HSM Safety Inputs'!H$50+'HSM Safety Inputs'!H$57+'HSM Safety Inputs'!H$64)&gt;0,('HSM Safety Inputs'!H$50+'HSM Safety Inputs'!H$57+'HSM Safety Inputs'!H$64),0))+'[1]Queue Attributed Crashes'!$F$67)*(1/'Fixed Inputs &amp; Assumptions'!$C$31)</f>
        <v>2.1000000000000005</v>
      </c>
      <c r="G8" s="410">
        <f>((IF(('HSM Safety Inputs'!H$51+'HSM Safety Inputs'!H$58+'HSM Safety Inputs'!H$65)&gt;0,('HSM Safety Inputs'!H$51+'HSM Safety Inputs'!H$58+'HSM Safety Inputs'!H$65),0))+'[1]Queue Attributed Crashes'!$G$67)*(1/'Fixed Inputs &amp; Assumptions'!$C$31)</f>
        <v>1.75</v>
      </c>
      <c r="H8" s="272">
        <f>(D8*'Fixed Inputs &amp; Assumptions'!$C$56)+(E8*'Fixed Inputs &amp; Assumptions'!$C$55)+(F8*'Fixed Inputs &amp; Assumptions'!$C$53)+(G8*'Fixed Inputs &amp; Assumptions'!$C$58)</f>
        <v>1478328.3333333333</v>
      </c>
      <c r="I8" s="273">
        <f>H8/(1.07^(2026-2020))</f>
        <v>985072.58916429186</v>
      </c>
    </row>
    <row r="9" spans="2:9">
      <c r="B9" s="356">
        <v>5</v>
      </c>
      <c r="C9" s="357" t="s">
        <v>64</v>
      </c>
      <c r="D9" s="412">
        <f>((IF(('HSM Safety Inputs'!I$48+'HSM Safety Inputs'!I$55+'HSM Safety Inputs'!I$62)&gt;0,('HSM Safety Inputs'!I$48+'HSM Safety Inputs'!I$55+'HSM Safety Inputs'!I$62),0))+'[1]Queue Attributed Crashes'!$D$67)*(2/'Fixed Inputs &amp; Assumptions'!$C$31)</f>
        <v>0.19166666666666665</v>
      </c>
      <c r="E9" s="412">
        <f>((IF(('HSM Safety Inputs'!I$49+'HSM Safety Inputs'!I$56+'HSM Safety Inputs'!I$63)&gt;0,('HSM Safety Inputs'!I$49+'HSM Safety Inputs'!I$56+'HSM Safety Inputs'!I$63),0))+'[1]Queue Attributed Crashes'!$E$67)*(2/'Fixed Inputs &amp; Assumptions'!$C$31)</f>
        <v>0.70833333333333326</v>
      </c>
      <c r="F9" s="412">
        <f>((IF(('HSM Safety Inputs'!I$50+'HSM Safety Inputs'!I$57+'HSM Safety Inputs'!I$64)&gt;0,('HSM Safety Inputs'!I$50+'HSM Safety Inputs'!I$57+'HSM Safety Inputs'!I$64),0))+'[1]Queue Attributed Crashes'!$F$67)*(2/'Fixed Inputs &amp; Assumptions'!$C$31)</f>
        <v>4.2000000000000011</v>
      </c>
      <c r="G9" s="412">
        <f>((IF(('HSM Safety Inputs'!I$51+'HSM Safety Inputs'!I$58+'HSM Safety Inputs'!I$65)&gt;0,('HSM Safety Inputs'!I$51+'HSM Safety Inputs'!I$58+'HSM Safety Inputs'!I$65),0))+'[1]Queue Attributed Crashes'!$G$67)*(2/'Fixed Inputs &amp; Assumptions'!$C$31)</f>
        <v>3.5</v>
      </c>
      <c r="H9" s="359">
        <f>(D9*'Fixed Inputs &amp; Assumptions'!$C$56)+(E9*'Fixed Inputs &amp; Assumptions'!$C$55)+(F9*'Fixed Inputs &amp; Assumptions'!$C$53)+(G9*'Fixed Inputs &amp; Assumptions'!$C$58)</f>
        <v>2956656.6666666665</v>
      </c>
      <c r="I9" s="360">
        <f>H9/(1.07^(2027-2020))</f>
        <v>1841257.1760080222</v>
      </c>
    </row>
    <row r="10" spans="2:9">
      <c r="B10" s="269">
        <v>6</v>
      </c>
      <c r="C10" s="270">
        <v>2028</v>
      </c>
      <c r="D10" s="410">
        <f>((IF(('HSM Safety Inputs'!J$48+'HSM Safety Inputs'!J$55+'HSM Safety Inputs'!J$62)&gt;0,('HSM Safety Inputs'!J$48+'HSM Safety Inputs'!J$55+'HSM Safety Inputs'!J$62),0))+'[1]Queue Attributed Crashes'!$D$67)</f>
        <v>0.28749999999999998</v>
      </c>
      <c r="E10" s="410">
        <f>((IF(('HSM Safety Inputs'!J$49+'HSM Safety Inputs'!J$56+'HSM Safety Inputs'!J$63)&gt;0,('HSM Safety Inputs'!J$49+'HSM Safety Inputs'!J$56+'HSM Safety Inputs'!J$63),0))+'[1]Queue Attributed Crashes'!$E$67)</f>
        <v>1.0625</v>
      </c>
      <c r="F10" s="410">
        <f>((IF(('HSM Safety Inputs'!J$50+'HSM Safety Inputs'!J$57+'HSM Safety Inputs'!J$64)&gt;0,('HSM Safety Inputs'!J$50+'HSM Safety Inputs'!J$57+'HSM Safety Inputs'!J$64),0))+'[1]Queue Attributed Crashes'!$F$67)</f>
        <v>6.2999999999999989</v>
      </c>
      <c r="G10" s="410">
        <f>((IF(('HSM Safety Inputs'!J$51+'HSM Safety Inputs'!J$58+'HSM Safety Inputs'!J$65)&gt;0,('HSM Safety Inputs'!J$51+'HSM Safety Inputs'!J$58+'HSM Safety Inputs'!J$65),0))+'[1]Queue Attributed Crashes'!$G$67)</f>
        <v>5.25</v>
      </c>
      <c r="H10" s="272">
        <f>(D10*'Fixed Inputs &amp; Assumptions'!$C$56)+(E10*'Fixed Inputs &amp; Assumptions'!$C$55)+(F10*'Fixed Inputs &amp; Assumptions'!$C$53)+(G10*'Fixed Inputs &amp; Assumptions'!$C$58)</f>
        <v>4434984.9999999991</v>
      </c>
      <c r="I10" s="273">
        <f t="shared" si="0"/>
        <v>2581201.6486093765</v>
      </c>
    </row>
    <row r="11" spans="2:9">
      <c r="B11" s="356">
        <v>7</v>
      </c>
      <c r="C11" s="357">
        <v>2029</v>
      </c>
      <c r="D11" s="412">
        <f>((IF(('HSM Safety Inputs'!K$48+'HSM Safety Inputs'!K$55+'HSM Safety Inputs'!K$62)&gt;0,('HSM Safety Inputs'!K$48+'HSM Safety Inputs'!K$55+'HSM Safety Inputs'!K$62),0))+'[1]Queue Attributed Crashes'!$D$67)</f>
        <v>0.28749999999999998</v>
      </c>
      <c r="E11" s="412">
        <f>((IF(('HSM Safety Inputs'!K$49+'HSM Safety Inputs'!K$56+'HSM Safety Inputs'!K$63)&gt;0,('HSM Safety Inputs'!K$49+'HSM Safety Inputs'!K$56+'HSM Safety Inputs'!K$63),0))+'[1]Queue Attributed Crashes'!$E$67)</f>
        <v>1.0625</v>
      </c>
      <c r="F11" s="412">
        <f>((IF(('HSM Safety Inputs'!K$50+'HSM Safety Inputs'!K$57+'HSM Safety Inputs'!K$64)&gt;0,('HSM Safety Inputs'!K$50+'HSM Safety Inputs'!K$57+'HSM Safety Inputs'!K$64),0))+'[1]Queue Attributed Crashes'!$F$67)</f>
        <v>6.2999999999999989</v>
      </c>
      <c r="G11" s="412">
        <f>((IF(('HSM Safety Inputs'!K$51+'HSM Safety Inputs'!K$58+'HSM Safety Inputs'!K$65)&gt;0,('HSM Safety Inputs'!K$51+'HSM Safety Inputs'!K$58+'HSM Safety Inputs'!K$65),0))+'[1]Queue Attributed Crashes'!$G$67)</f>
        <v>5.25</v>
      </c>
      <c r="H11" s="359">
        <f>(D11*'Fixed Inputs &amp; Assumptions'!$C$56)+(E11*'Fixed Inputs &amp; Assumptions'!$C$55)+(F11*'Fixed Inputs &amp; Assumptions'!$C$53)+(G11*'Fixed Inputs &amp; Assumptions'!$C$58)</f>
        <v>4434984.9999999991</v>
      </c>
      <c r="I11" s="360">
        <f t="shared" si="0"/>
        <v>2412337.9893545574</v>
      </c>
    </row>
    <row r="12" spans="2:9">
      <c r="B12" s="269">
        <v>8</v>
      </c>
      <c r="C12" s="270">
        <v>2030</v>
      </c>
      <c r="D12" s="410">
        <f>((IF(('HSM Safety Inputs'!L$48+'HSM Safety Inputs'!L$55+'HSM Safety Inputs'!L$62)&gt;0,('HSM Safety Inputs'!L$48+'HSM Safety Inputs'!L$55+'HSM Safety Inputs'!L$62),0))+'[1]Queue Attributed Crashes'!$D$67)</f>
        <v>0.27449999999999997</v>
      </c>
      <c r="E12" s="410">
        <f>((IF(('HSM Safety Inputs'!L$49+'HSM Safety Inputs'!L$56+'HSM Safety Inputs'!L$63)&gt;0,('HSM Safety Inputs'!L$49+'HSM Safety Inputs'!L$56+'HSM Safety Inputs'!L$63),0))+'[1]Queue Attributed Crashes'!$E$67)</f>
        <v>1.0305</v>
      </c>
      <c r="F12" s="410">
        <f>((IF(('HSM Safety Inputs'!L$50+'HSM Safety Inputs'!L$57+'HSM Safety Inputs'!L$64)&gt;0,('HSM Safety Inputs'!L$50+'HSM Safety Inputs'!L$57+'HSM Safety Inputs'!L$64),0))+'[1]Queue Attributed Crashes'!$F$67)</f>
        <v>6.2599999999999989</v>
      </c>
      <c r="G12" s="410">
        <f>((IF(('HSM Safety Inputs'!L$51+'HSM Safety Inputs'!L$58+'HSM Safety Inputs'!L$65)&gt;0,('HSM Safety Inputs'!L$51+'HSM Safety Inputs'!L$58+'HSM Safety Inputs'!L$65),0))+'[1]Queue Attributed Crashes'!$G$67)</f>
        <v>5.25</v>
      </c>
      <c r="H12" s="272">
        <f>(D12*'Fixed Inputs &amp; Assumptions'!$C$56)+(E12*'Fixed Inputs &amp; Assumptions'!$C$55)+(F12*'Fixed Inputs &amp; Assumptions'!$C$53)+(G12*'Fixed Inputs &amp; Assumptions'!$C$58)</f>
        <v>4263343.3999999994</v>
      </c>
      <c r="I12" s="273">
        <f t="shared" si="0"/>
        <v>2167267.5995172206</v>
      </c>
    </row>
    <row r="13" spans="2:9">
      <c r="B13" s="356">
        <v>9</v>
      </c>
      <c r="C13" s="357">
        <v>2031</v>
      </c>
      <c r="D13" s="412">
        <f>((IF(('HSM Safety Inputs'!M$48+'HSM Safety Inputs'!M$55+'HSM Safety Inputs'!M$62)&gt;0,('HSM Safety Inputs'!M$48+'HSM Safety Inputs'!M$55+'HSM Safety Inputs'!M$62),0))+'[1]Queue Attributed Crashes'!$D$67)</f>
        <v>0.28749999999999998</v>
      </c>
      <c r="E13" s="412">
        <f>((IF(('HSM Safety Inputs'!M$49+'HSM Safety Inputs'!M$56+'HSM Safety Inputs'!M$63)&gt;0,('HSM Safety Inputs'!M$49+'HSM Safety Inputs'!M$56+'HSM Safety Inputs'!M$63),0))+'[1]Queue Attributed Crashes'!$E$67)</f>
        <v>1.0625</v>
      </c>
      <c r="F13" s="412">
        <f>((IF(('HSM Safety Inputs'!M$50+'HSM Safety Inputs'!M$57+'HSM Safety Inputs'!M$64)&gt;0,('HSM Safety Inputs'!M$50+'HSM Safety Inputs'!M$57+'HSM Safety Inputs'!M$64),0))+'[1]Queue Attributed Crashes'!$F$67)</f>
        <v>6.3000000000000025</v>
      </c>
      <c r="G13" s="412">
        <f>((IF(('HSM Safety Inputs'!M$51+'HSM Safety Inputs'!M$58+'HSM Safety Inputs'!M$65)&gt;0,('HSM Safety Inputs'!M$51+'HSM Safety Inputs'!M$58+'HSM Safety Inputs'!M$65),0))+'[1]Queue Attributed Crashes'!$G$67)</f>
        <v>5.25</v>
      </c>
      <c r="H13" s="359">
        <f>(D13*'Fixed Inputs &amp; Assumptions'!$C$56)+(E13*'Fixed Inputs &amp; Assumptions'!$C$55)+(F13*'Fixed Inputs &amp; Assumptions'!$C$53)+(G13*'Fixed Inputs &amp; Assumptions'!$C$58)</f>
        <v>4434985</v>
      </c>
      <c r="I13" s="360">
        <f t="shared" si="0"/>
        <v>2107029.4255870013</v>
      </c>
    </row>
    <row r="14" spans="2:9">
      <c r="B14" s="269">
        <v>10</v>
      </c>
      <c r="C14" s="270">
        <v>2032</v>
      </c>
      <c r="D14" s="410">
        <f>((IF(('HSM Safety Inputs'!N$48+'HSM Safety Inputs'!N$55+'HSM Safety Inputs'!N$62)&gt;0,('HSM Safety Inputs'!N$48+'HSM Safety Inputs'!N$55+'HSM Safety Inputs'!N$62),0))+'[1]Queue Attributed Crashes'!$D$67)</f>
        <v>0.28749999999999998</v>
      </c>
      <c r="E14" s="410">
        <f>((IF(('HSM Safety Inputs'!N$49+'HSM Safety Inputs'!N$56+'HSM Safety Inputs'!N$63)&gt;0,('HSM Safety Inputs'!N$49+'HSM Safety Inputs'!N$56+'HSM Safety Inputs'!N$63),0))+'[1]Queue Attributed Crashes'!$E$67)</f>
        <v>1.0625</v>
      </c>
      <c r="F14" s="410">
        <f>((IF(('HSM Safety Inputs'!N$50+'HSM Safety Inputs'!N$57+'HSM Safety Inputs'!N$64)&gt;0,('HSM Safety Inputs'!N$50+'HSM Safety Inputs'!N$57+'HSM Safety Inputs'!N$64),0))+'[1]Queue Attributed Crashes'!$F$67)</f>
        <v>6.3000000000000025</v>
      </c>
      <c r="G14" s="410">
        <f>((IF(('HSM Safety Inputs'!N$51+'HSM Safety Inputs'!N$58+'HSM Safety Inputs'!N$65)&gt;0,('HSM Safety Inputs'!N$51+'HSM Safety Inputs'!N$58+'HSM Safety Inputs'!N$65),0))+'[1]Queue Attributed Crashes'!$G$67)</f>
        <v>5.25</v>
      </c>
      <c r="H14" s="272">
        <f>(D14*'Fixed Inputs &amp; Assumptions'!$C$56)+(E14*'Fixed Inputs &amp; Assumptions'!$C$55)+(F14*'Fixed Inputs &amp; Assumptions'!$C$53)+(G14*'Fixed Inputs &amp; Assumptions'!$C$58)</f>
        <v>4434985</v>
      </c>
      <c r="I14" s="273">
        <f t="shared" si="0"/>
        <v>1969186.3790532723</v>
      </c>
    </row>
    <row r="15" spans="2:9">
      <c r="B15" s="356">
        <v>11</v>
      </c>
      <c r="C15" s="357">
        <v>2033</v>
      </c>
      <c r="D15" s="412">
        <f>((IF(('HSM Safety Inputs'!O$48+'HSM Safety Inputs'!O$55+'HSM Safety Inputs'!O$62)&gt;0,('HSM Safety Inputs'!O$48+'HSM Safety Inputs'!O$55+'HSM Safety Inputs'!O$62),0))+'[1]Queue Attributed Crashes'!$D$67)</f>
        <v>0.28749999999999998</v>
      </c>
      <c r="E15" s="412">
        <f>((IF(('HSM Safety Inputs'!O$49+'HSM Safety Inputs'!O$56+'HSM Safety Inputs'!O$63)&gt;0,('HSM Safety Inputs'!O$49+'HSM Safety Inputs'!O$56+'HSM Safety Inputs'!O$63),0))+'[1]Queue Attributed Crashes'!$E$67)</f>
        <v>1.0625</v>
      </c>
      <c r="F15" s="412">
        <f>((IF(('HSM Safety Inputs'!O$50+'HSM Safety Inputs'!O$57+'HSM Safety Inputs'!O$64)&gt;0,('HSM Safety Inputs'!O$50+'HSM Safety Inputs'!O$57+'HSM Safety Inputs'!O$64),0))+'[1]Queue Attributed Crashes'!$F$67)</f>
        <v>6.2999999999999989</v>
      </c>
      <c r="G15" s="412">
        <f>((IF(('HSM Safety Inputs'!O$51+'HSM Safety Inputs'!O$58+'HSM Safety Inputs'!O$65)&gt;0,('HSM Safety Inputs'!O$51+'HSM Safety Inputs'!O$58+'HSM Safety Inputs'!O$65),0))+'[1]Queue Attributed Crashes'!$G$67)</f>
        <v>5.25</v>
      </c>
      <c r="H15" s="359">
        <f>(D15*'Fixed Inputs &amp; Assumptions'!$C$56)+(E15*'Fixed Inputs &amp; Assumptions'!$C$55)+(F15*'Fixed Inputs &amp; Assumptions'!$C$53)+(G15*'Fixed Inputs &amp; Assumptions'!$C$58)</f>
        <v>4434984.9999999991</v>
      </c>
      <c r="I15" s="360">
        <f t="shared" si="0"/>
        <v>1840361.1019189456</v>
      </c>
    </row>
    <row r="16" spans="2:9">
      <c r="B16" s="269">
        <v>12</v>
      </c>
      <c r="C16" s="270">
        <v>2034</v>
      </c>
      <c r="D16" s="410">
        <f>((IF(('HSM Safety Inputs'!P$48+'HSM Safety Inputs'!P$55+'HSM Safety Inputs'!P$62)&gt;0,('HSM Safety Inputs'!P$48+'HSM Safety Inputs'!P$55+'HSM Safety Inputs'!P$62),0))+'[1]Queue Attributed Crashes'!$D$67)</f>
        <v>0.28749999999999998</v>
      </c>
      <c r="E16" s="410">
        <f>((IF(('HSM Safety Inputs'!P$49+'HSM Safety Inputs'!P$56+'HSM Safety Inputs'!P$63)&gt;0,('HSM Safety Inputs'!P$49+'HSM Safety Inputs'!P$56+'HSM Safety Inputs'!P$63),0))+'[1]Queue Attributed Crashes'!$E$67)</f>
        <v>1.0625</v>
      </c>
      <c r="F16" s="410">
        <f>((IF(('HSM Safety Inputs'!P$50+'HSM Safety Inputs'!P$57+'HSM Safety Inputs'!P$64)&gt;0,('HSM Safety Inputs'!P$50+'HSM Safety Inputs'!P$57+'HSM Safety Inputs'!P$64),0))+'[1]Queue Attributed Crashes'!$F$67)</f>
        <v>6.2999999999999989</v>
      </c>
      <c r="G16" s="410">
        <f>((IF(('HSM Safety Inputs'!P$51+'HSM Safety Inputs'!P$58+'HSM Safety Inputs'!P$65)&gt;0,('HSM Safety Inputs'!P$51+'HSM Safety Inputs'!P$58+'HSM Safety Inputs'!P$65),0))+'[1]Queue Attributed Crashes'!$G$67)</f>
        <v>5.25</v>
      </c>
      <c r="H16" s="272">
        <f>(D16*'Fixed Inputs &amp; Assumptions'!$C$56)+(E16*'Fixed Inputs &amp; Assumptions'!$C$55)+(F16*'Fixed Inputs &amp; Assumptions'!$C$53)+(G16*'Fixed Inputs &amp; Assumptions'!$C$58)</f>
        <v>4434984.9999999991</v>
      </c>
      <c r="I16" s="273">
        <f t="shared" si="0"/>
        <v>1719963.6466532203</v>
      </c>
    </row>
    <row r="17" spans="2:9">
      <c r="B17" s="356">
        <v>13</v>
      </c>
      <c r="C17" s="357">
        <v>2035</v>
      </c>
      <c r="D17" s="412">
        <f>((IF(('HSM Safety Inputs'!Q$48+'HSM Safety Inputs'!Q$55+'HSM Safety Inputs'!Q$62)&gt;0,('HSM Safety Inputs'!Q$48+'HSM Safety Inputs'!Q$55+'HSM Safety Inputs'!Q$62),0))+'[1]Queue Attributed Crashes'!$D$67)</f>
        <v>0.38749999999999996</v>
      </c>
      <c r="E17" s="412">
        <f>((IF(('HSM Safety Inputs'!Q$49+'HSM Safety Inputs'!Q$56+'HSM Safety Inputs'!Q$63)&gt;0,('HSM Safety Inputs'!Q$49+'HSM Safety Inputs'!Q$56+'HSM Safety Inputs'!Q$63),0))+'[1]Queue Attributed Crashes'!$E$67)</f>
        <v>1.0625</v>
      </c>
      <c r="F17" s="412">
        <f>((IF(('HSM Safety Inputs'!Q$50+'HSM Safety Inputs'!Q$57+'HSM Safety Inputs'!Q$64)&gt;0,('HSM Safety Inputs'!Q$50+'HSM Safety Inputs'!Q$57+'HSM Safety Inputs'!Q$64),0))+'[1]Queue Attributed Crashes'!$F$67)</f>
        <v>6.1000000000000023</v>
      </c>
      <c r="G17" s="412">
        <f>((IF(('HSM Safety Inputs'!Q$51+'HSM Safety Inputs'!Q$58+'HSM Safety Inputs'!Q$65)&gt;0,('HSM Safety Inputs'!Q$51+'HSM Safety Inputs'!Q$58+'HSM Safety Inputs'!Q$65),0))+'[1]Queue Attributed Crashes'!$G$67)</f>
        <v>5.25</v>
      </c>
      <c r="H17" s="359">
        <f>(D17*'Fixed Inputs &amp; Assumptions'!$C$56)+(E17*'Fixed Inputs &amp; Assumptions'!$C$55)+(F17*'Fixed Inputs &amp; Assumptions'!$C$53)+(G17*'Fixed Inputs &amp; Assumptions'!$C$58)</f>
        <v>5579544.9999999991</v>
      </c>
      <c r="I17" s="360">
        <f t="shared" si="0"/>
        <v>2022283.8766654294</v>
      </c>
    </row>
    <row r="18" spans="2:9">
      <c r="B18" s="269">
        <v>14</v>
      </c>
      <c r="C18" s="270">
        <v>2036</v>
      </c>
      <c r="D18" s="410">
        <f>((IF(('HSM Safety Inputs'!R$48+'HSM Safety Inputs'!R$55+'HSM Safety Inputs'!R$62)&gt;0,('HSM Safety Inputs'!R$48+'HSM Safety Inputs'!R$55+'HSM Safety Inputs'!R$62),0))+'[1]Queue Attributed Crashes'!$D$67)</f>
        <v>0.38749999999999996</v>
      </c>
      <c r="E18" s="410">
        <f>((IF(('HSM Safety Inputs'!R$49+'HSM Safety Inputs'!R$56+'HSM Safety Inputs'!R$63)&gt;0,('HSM Safety Inputs'!R$49+'HSM Safety Inputs'!R$56+'HSM Safety Inputs'!R$63),0))+'[1]Queue Attributed Crashes'!$E$67)</f>
        <v>1.0625</v>
      </c>
      <c r="F18" s="410">
        <f>((IF(('HSM Safety Inputs'!R$50+'HSM Safety Inputs'!R$57+'HSM Safety Inputs'!R$64)&gt;0,('HSM Safety Inputs'!R$50+'HSM Safety Inputs'!R$57+'HSM Safety Inputs'!R$64),0))+'[1]Queue Attributed Crashes'!$F$67)</f>
        <v>6.0999999999999988</v>
      </c>
      <c r="G18" s="410">
        <f>((IF(('HSM Safety Inputs'!R$51+'HSM Safety Inputs'!R$58+'HSM Safety Inputs'!R$65)&gt;0,('HSM Safety Inputs'!R$51+'HSM Safety Inputs'!R$58+'HSM Safety Inputs'!R$65),0))+'[1]Queue Attributed Crashes'!$G$67)</f>
        <v>5.25</v>
      </c>
      <c r="H18" s="272">
        <f>(D18*'Fixed Inputs &amp; Assumptions'!$C$56)+(E18*'Fixed Inputs &amp; Assumptions'!$C$55)+(F18*'Fixed Inputs &amp; Assumptions'!$C$53)+(G18*'Fixed Inputs &amp; Assumptions'!$C$58)</f>
        <v>5579544.9999999991</v>
      </c>
      <c r="I18" s="273">
        <f t="shared" si="0"/>
        <v>1889984.9314630183</v>
      </c>
    </row>
    <row r="19" spans="2:9">
      <c r="B19" s="356">
        <v>15</v>
      </c>
      <c r="C19" s="357">
        <v>2037</v>
      </c>
      <c r="D19" s="412">
        <f>((IF(('HSM Safety Inputs'!S$48+'HSM Safety Inputs'!S$55+'HSM Safety Inputs'!S$62)&gt;0,('HSM Safety Inputs'!S$48+'HSM Safety Inputs'!S$55+'HSM Safety Inputs'!S$62),0))+'[1]Queue Attributed Crashes'!$D$67)</f>
        <v>0.38749999999999996</v>
      </c>
      <c r="E19" s="412">
        <f>((IF(('HSM Safety Inputs'!S$49+'HSM Safety Inputs'!S$56+'HSM Safety Inputs'!S$63)&gt;0,('HSM Safety Inputs'!S$49+'HSM Safety Inputs'!S$56+'HSM Safety Inputs'!S$63),0))+'[1]Queue Attributed Crashes'!$E$67)</f>
        <v>1.0625</v>
      </c>
      <c r="F19" s="412">
        <f>((IF(('HSM Safety Inputs'!S$50+'HSM Safety Inputs'!S$57+'HSM Safety Inputs'!S$64)&gt;0,('HSM Safety Inputs'!S$50+'HSM Safety Inputs'!S$57+'HSM Safety Inputs'!S$64),0))+'[1]Queue Attributed Crashes'!$F$67)</f>
        <v>6.0999999999999988</v>
      </c>
      <c r="G19" s="412">
        <f>((IF(('HSM Safety Inputs'!S$51+'HSM Safety Inputs'!S$58+'HSM Safety Inputs'!S$65)&gt;0,('HSM Safety Inputs'!S$51+'HSM Safety Inputs'!S$58+'HSM Safety Inputs'!S$65),0))+'[1]Queue Attributed Crashes'!$G$67)</f>
        <v>5.25</v>
      </c>
      <c r="H19" s="359">
        <f>(D19*'Fixed Inputs &amp; Assumptions'!$C$56)+(E19*'Fixed Inputs &amp; Assumptions'!$C$55)+(F19*'Fixed Inputs &amp; Assumptions'!$C$53)+(G19*'Fixed Inputs &amp; Assumptions'!$C$58)</f>
        <v>5579544.9999999991</v>
      </c>
      <c r="I19" s="360">
        <f t="shared" si="0"/>
        <v>1766341.0574420732</v>
      </c>
    </row>
    <row r="20" spans="2:9">
      <c r="B20" s="269">
        <v>16</v>
      </c>
      <c r="C20" s="270">
        <v>2038</v>
      </c>
      <c r="D20" s="410">
        <f>((IF(('HSM Safety Inputs'!T$48+'HSM Safety Inputs'!T$55+'HSM Safety Inputs'!T$62)&gt;0,('HSM Safety Inputs'!T$48+'HSM Safety Inputs'!T$55+'HSM Safety Inputs'!T$62),0))+'[1]Queue Attributed Crashes'!$D$67)</f>
        <v>0.38749999999999996</v>
      </c>
      <c r="E20" s="410">
        <f>((IF(('HSM Safety Inputs'!T$49+'HSM Safety Inputs'!T$56+'HSM Safety Inputs'!T$63)&gt;0,('HSM Safety Inputs'!T$49+'HSM Safety Inputs'!T$56+'HSM Safety Inputs'!T$63),0))+'[1]Queue Attributed Crashes'!$E$67)</f>
        <v>1.0625</v>
      </c>
      <c r="F20" s="410">
        <f>((IF(('HSM Safety Inputs'!T$50+'HSM Safety Inputs'!T$57+'HSM Safety Inputs'!T$64)&gt;0,('HSM Safety Inputs'!T$50+'HSM Safety Inputs'!T$57+'HSM Safety Inputs'!T$64),0))+'[1]Queue Attributed Crashes'!$F$67)</f>
        <v>6.0999999999999988</v>
      </c>
      <c r="G20" s="410">
        <f>((IF(('HSM Safety Inputs'!T$51+'HSM Safety Inputs'!T$58+'HSM Safety Inputs'!T$65)&gt;0,('HSM Safety Inputs'!T$51+'HSM Safety Inputs'!T$58+'HSM Safety Inputs'!T$65),0))+'[1]Queue Attributed Crashes'!$G$67)</f>
        <v>5.25</v>
      </c>
      <c r="H20" s="272">
        <f>(D20*'Fixed Inputs &amp; Assumptions'!$C$56)+(E20*'Fixed Inputs &amp; Assumptions'!$C$55)+(F20*'Fixed Inputs &amp; Assumptions'!$C$53)+(G20*'Fixed Inputs &amp; Assumptions'!$C$58)</f>
        <v>5579544.9999999991</v>
      </c>
      <c r="I20" s="273">
        <f t="shared" si="0"/>
        <v>1650786.0349925917</v>
      </c>
    </row>
    <row r="21" spans="2:9">
      <c r="B21" s="356">
        <v>17</v>
      </c>
      <c r="C21" s="357">
        <v>2039</v>
      </c>
      <c r="D21" s="412">
        <f>((IF(('HSM Safety Inputs'!U$48+'HSM Safety Inputs'!U$55+'HSM Safety Inputs'!U$62)&gt;0,('HSM Safety Inputs'!U$48+'HSM Safety Inputs'!U$55+'HSM Safety Inputs'!U$62),0))+'[1]Queue Attributed Crashes'!$D$67)</f>
        <v>0.38749999999999996</v>
      </c>
      <c r="E21" s="412">
        <f>((IF(('HSM Safety Inputs'!U$49+'HSM Safety Inputs'!U$56+'HSM Safety Inputs'!U$63)&gt;0,('HSM Safety Inputs'!U$49+'HSM Safety Inputs'!U$56+'HSM Safety Inputs'!U$63),0))+'[1]Queue Attributed Crashes'!$E$67)</f>
        <v>1.0625</v>
      </c>
      <c r="F21" s="412">
        <f>((IF(('HSM Safety Inputs'!U$50+'HSM Safety Inputs'!U$57+'HSM Safety Inputs'!U$64)&gt;0,('HSM Safety Inputs'!U$50+'HSM Safety Inputs'!U58+'HSM Safety Inputs'!U$64),0))+'[1]Queue Attributed Crashes'!$F$67)</f>
        <v>6.8000000000000025</v>
      </c>
      <c r="G21" s="412">
        <f>((IF(('HSM Safety Inputs'!U$51+'HSM Safety Inputs'!U$58+'HSM Safety Inputs'!U$65)&gt;0,('HSM Safety Inputs'!U$51+'HSM Safety Inputs'!U$58+'HSM Safety Inputs'!U$65),0))+'[1]Queue Attributed Crashes'!$G$67)</f>
        <v>5.25</v>
      </c>
      <c r="H21" s="359">
        <f>(D21*'Fixed Inputs &amp; Assumptions'!$C$56)+(E21*'Fixed Inputs &amp; Assumptions'!$C$55)+(F21*'Fixed Inputs &amp; Assumptions'!$C$53)+(G21*'Fixed Inputs &amp; Assumptions'!$C$58)</f>
        <v>5633584.9999999991</v>
      </c>
      <c r="I21" s="360">
        <f t="shared" si="0"/>
        <v>1557733.1972248699</v>
      </c>
    </row>
    <row r="22" spans="2:9">
      <c r="B22" s="269">
        <v>18</v>
      </c>
      <c r="C22" s="270">
        <v>2040</v>
      </c>
      <c r="D22" s="410">
        <f>((IF(('HSM Safety Inputs'!V$48+'HSM Safety Inputs'!V$55+'HSM Safety Inputs'!V$62)&gt;0,('HSM Safety Inputs'!V$48+'HSM Safety Inputs'!V$55+'HSM Safety Inputs'!V$62),0))+'[1]Queue Attributed Crashes'!$D$67)</f>
        <v>0.28749999999999998</v>
      </c>
      <c r="E22" s="410">
        <f>((IF(('HSM Safety Inputs'!V$49+'HSM Safety Inputs'!V$56+'HSM Safety Inputs'!V$63)&gt;0,('HSM Safety Inputs'!V$49+'HSM Safety Inputs'!V$56+'HSM Safety Inputs'!V$63),0))+'[1]Queue Attributed Crashes'!$E$67)</f>
        <v>1.0625</v>
      </c>
      <c r="F22" s="410">
        <f>((IF(('HSM Safety Inputs'!V$50+'HSM Safety Inputs'!V$57+'HSM Safety Inputs'!V$64)&gt;0,('HSM Safety Inputs'!V$50+'HSM Safety Inputs'!V$57+'HSM Safety Inputs'!V$64),0))+'[1]Queue Attributed Crashes'!$F$67)</f>
        <v>6.2000000000000028</v>
      </c>
      <c r="G22" s="410">
        <f>((IF(('HSM Safety Inputs'!V$51+'HSM Safety Inputs'!V$58+'HSM Safety Inputs'!V$65)&gt;0,('HSM Safety Inputs'!V$51+'HSM Safety Inputs'!V$58+'HSM Safety Inputs'!V$65),0))+'[1]Queue Attributed Crashes'!$G$67)</f>
        <v>5.25</v>
      </c>
      <c r="H22" s="272">
        <f>(D22*'Fixed Inputs &amp; Assumptions'!$C$56)+(E22*'Fixed Inputs &amp; Assumptions'!$C$55)+(F22*'Fixed Inputs &amp; Assumptions'!$C$53)+(G22*'Fixed Inputs &amp; Assumptions'!$C$58)</f>
        <v>4427265</v>
      </c>
      <c r="I22" s="273">
        <f t="shared" si="0"/>
        <v>1144089.4064927425</v>
      </c>
    </row>
    <row r="23" spans="2:9">
      <c r="B23" s="356">
        <v>19</v>
      </c>
      <c r="C23" s="357">
        <v>2041</v>
      </c>
      <c r="D23" s="412">
        <f>((IF(('HSM Safety Inputs'!W$48+'HSM Safety Inputs'!W$55+'HSM Safety Inputs'!W$62)&gt;0,('HSM Safety Inputs'!W$48+'HSM Safety Inputs'!W$55+'HSM Safety Inputs'!W$62),0))+'[1]Queue Attributed Crashes'!$D$67)</f>
        <v>0.28749999999999998</v>
      </c>
      <c r="E23" s="412">
        <f>((IF(('HSM Safety Inputs'!W$49+'HSM Safety Inputs'!W$56+'HSM Safety Inputs'!W$63)&gt;0,('HSM Safety Inputs'!W$49+'HSM Safety Inputs'!W$56+'HSM Safety Inputs'!W$63),0))+'[1]Queue Attributed Crashes'!$E$67)</f>
        <v>1.0625</v>
      </c>
      <c r="F23" s="412">
        <f>((IF(('HSM Safety Inputs'!W$50+'HSM Safety Inputs'!W$57+'HSM Safety Inputs'!W$64)&gt;0,('HSM Safety Inputs'!W$50+'HSM Safety Inputs'!W$57+'HSM Safety Inputs'!W$64),0))+'[1]Queue Attributed Crashes'!$F$67)</f>
        <v>6.1999999999999993</v>
      </c>
      <c r="G23" s="412">
        <f>((IF(('HSM Safety Inputs'!W$51+'HSM Safety Inputs'!W$58+'HSM Safety Inputs'!W$65)&gt;0,('HSM Safety Inputs'!W$51+'HSM Safety Inputs'!W$58+'HSM Safety Inputs'!W$65),0))+'[1]Queue Attributed Crashes'!$G$67)</f>
        <v>5.25</v>
      </c>
      <c r="H23" s="359">
        <f>(D23*'Fixed Inputs &amp; Assumptions'!$C$56)+(E23*'Fixed Inputs &amp; Assumptions'!$C$55)+(F23*'Fixed Inputs &amp; Assumptions'!$C$53)+(G23*'Fixed Inputs &amp; Assumptions'!$C$58)</f>
        <v>4427264.9999999991</v>
      </c>
      <c r="I23" s="360">
        <f t="shared" si="0"/>
        <v>1069242.4359745253</v>
      </c>
    </row>
    <row r="24" spans="2:9">
      <c r="B24" s="269">
        <v>20</v>
      </c>
      <c r="C24" s="270">
        <v>2042</v>
      </c>
      <c r="D24" s="410">
        <f>((IF(('HSM Safety Inputs'!X$48+'HSM Safety Inputs'!X$55+'HSM Safety Inputs'!X$62)&gt;0,('HSM Safety Inputs'!X$48+'HSM Safety Inputs'!X$55+'HSM Safety Inputs'!X$62),0))+'[1]Queue Attributed Crashes'!$D$67)</f>
        <v>0.28749999999999998</v>
      </c>
      <c r="E24" s="410">
        <f>((IF(('HSM Safety Inputs'!X$49+'HSM Safety Inputs'!X$56+'HSM Safety Inputs'!X$63)&gt;0,('HSM Safety Inputs'!X$49+'HSM Safety Inputs'!X$56+'HSM Safety Inputs'!X$63),0))+'[1]Queue Attributed Crashes'!$E$67)</f>
        <v>1.0625</v>
      </c>
      <c r="F24" s="410">
        <f>((IF(('HSM Safety Inputs'!X$50+'HSM Safety Inputs'!X$57+'HSM Safety Inputs'!X$64)&gt;0,('HSM Safety Inputs'!X$50+'HSM Safety Inputs'!X$57+'HSM Safety Inputs'!X$64),0))+'[1]Queue Attributed Crashes'!$F$67)</f>
        <v>6.2000000000000028</v>
      </c>
      <c r="G24" s="410">
        <f>((IF(('HSM Safety Inputs'!X$51+'HSM Safety Inputs'!X$58+'HSM Safety Inputs'!X$65)&gt;0,('HSM Safety Inputs'!X$51+'HSM Safety Inputs'!X$58+'HSM Safety Inputs'!X$65),0))+'[1]Queue Attributed Crashes'!$G$67)</f>
        <v>5.25</v>
      </c>
      <c r="H24" s="272">
        <f>(D24*'Fixed Inputs &amp; Assumptions'!$C$56)+(E24*'Fixed Inputs &amp; Assumptions'!$C$55)+(F24*'Fixed Inputs &amp; Assumptions'!$C$53)+(G24*'Fixed Inputs &amp; Assumptions'!$C$58)</f>
        <v>4427265</v>
      </c>
      <c r="I24" s="273">
        <f t="shared" si="0"/>
        <v>999291.99623787438</v>
      </c>
    </row>
    <row r="25" spans="2:9">
      <c r="B25" s="356">
        <v>21</v>
      </c>
      <c r="C25" s="357">
        <v>2043</v>
      </c>
      <c r="D25" s="412">
        <f>((IF(('HSM Safety Inputs'!Y$48+'HSM Safety Inputs'!Y$55+'HSM Safety Inputs'!Y$62)&gt;0,('HSM Safety Inputs'!Y$48+'HSM Safety Inputs'!Y$55+'HSM Safety Inputs'!Y$62),0))+'[1]Queue Attributed Crashes'!$D$67)</f>
        <v>0.28749999999999998</v>
      </c>
      <c r="E25" s="412">
        <f>((IF(('HSM Safety Inputs'!Y$49+'HSM Safety Inputs'!Y$56+'HSM Safety Inputs'!Y$63)&gt;0,('HSM Safety Inputs'!Y$49+'HSM Safety Inputs'!Y$56+'HSM Safety Inputs'!Y$63),0))+'[1]Queue Attributed Crashes'!$E$67)</f>
        <v>1.0625</v>
      </c>
      <c r="F25" s="412">
        <f>((IF(('HSM Safety Inputs'!Y$50+'HSM Safety Inputs'!Y$57+'HSM Safety Inputs'!Y$64)&gt;0,('HSM Safety Inputs'!Y$50+'HSM Safety Inputs'!Y$57+'HSM Safety Inputs'!Y$64),0))+'[1]Queue Attributed Crashes'!$F$67)</f>
        <v>6.1999999999999993</v>
      </c>
      <c r="G25" s="412">
        <f>((IF(('HSM Safety Inputs'!Y$51+'HSM Safety Inputs'!Y$58+'HSM Safety Inputs'!Y$6)&gt;0,('HSM Safety Inputs'!Y$51+'HSM Safety Inputs'!Y$58+'HSM Safety Inputs'!Y$65),0))+'[1]Queue Attributed Crashes'!$G$67)</f>
        <v>-8.8500000000000014</v>
      </c>
      <c r="H25" s="359">
        <f>(D25*'Fixed Inputs &amp; Assumptions'!$C$56)+(E25*'Fixed Inputs &amp; Assumptions'!$C$55)+(F25*'Fixed Inputs &amp; Assumptions'!$C$53)+(G25*'Fixed Inputs &amp; Assumptions'!$C$58)</f>
        <v>4362404.9999999991</v>
      </c>
      <c r="I25" s="360">
        <f t="shared" si="0"/>
        <v>920235.73863956984</v>
      </c>
    </row>
    <row r="26" spans="2:9">
      <c r="B26" s="269">
        <v>22</v>
      </c>
      <c r="C26" s="270">
        <v>2044</v>
      </c>
      <c r="D26" s="410">
        <f>((IF(('HSM Safety Inputs'!Z$48+'HSM Safety Inputs'!Z$55+'HSM Safety Inputs'!Z$62)&gt;0,('HSM Safety Inputs'!Z$48+'HSM Safety Inputs'!Z$55+'HSM Safety Inputs'!Z$62),0))+'[1]Queue Attributed Crashes'!$D$67)</f>
        <v>0.28749999999999998</v>
      </c>
      <c r="E26" s="410">
        <f>((IF(('HSM Safety Inputs'!Z$49+'HSM Safety Inputs'!Z$56+'HSM Safety Inputs'!Z$63)&gt;0,('HSM Safety Inputs'!Z$49+'HSM Safety Inputs'!Z$56+'HSM Safety Inputs'!Z$63),0))+'[1]Queue Attributed Crashes'!$E$67)</f>
        <v>1.0625</v>
      </c>
      <c r="F26" s="410">
        <f>((IF(('HSM Safety Inputs'!Z$50+'HSM Safety Inputs'!Z$57+'HSM Safety Inputs'!Z$64)&gt;0,('HSM Safety Inputs'!Z$50+'HSM Safety Inputs'!Z$57+'HSM Safety Inputs'!Z$64),0))+'[1]Queue Attributed Crashes'!$F$67)</f>
        <v>6.2999999999999989</v>
      </c>
      <c r="G26" s="410">
        <f>((IF(('HSM Safety Inputs'!Z$51+'HSM Safety Inputs'!Z$58+'HSM Safety Inputs'!Z$65)&gt;0,('HSM Safety Inputs'!Z$51+'HSM Safety Inputs'!Z$58+'HSM Safety Inputs'!Z$65),0))+'[1]Queue Attributed Crashes'!$G$67)</f>
        <v>5.25</v>
      </c>
      <c r="H26" s="272">
        <f>(D26*'Fixed Inputs &amp; Assumptions'!$C$56)+(E26*'Fixed Inputs &amp; Assumptions'!$C$55)+(F26*'Fixed Inputs &amp; Assumptions'!$C$53)+(G26*'Fixed Inputs &amp; Assumptions'!$C$58)</f>
        <v>4434984.9999999991</v>
      </c>
      <c r="I26" s="273">
        <f t="shared" si="0"/>
        <v>874342.30227361247</v>
      </c>
    </row>
    <row r="27" spans="2:9">
      <c r="B27" s="356">
        <v>23</v>
      </c>
      <c r="C27" s="357">
        <v>2045</v>
      </c>
      <c r="D27" s="412">
        <f>((IF(('HSM Safety Inputs'!AA$48+'HSM Safety Inputs'!AA$55+'HSM Safety Inputs'!AA$62)&gt;0,('HSM Safety Inputs'!AA$48+'HSM Safety Inputs'!AA$55+'HSM Safety Inputs'!AA$62),0))+'[1]Queue Attributed Crashes'!$D$67)</f>
        <v>0.38750000000000007</v>
      </c>
      <c r="E27" s="412">
        <f>((IF(('HSM Safety Inputs'!AA$49+'HSM Safety Inputs'!AA$56+'HSM Safety Inputs'!AA$63)&gt;0,('HSM Safety Inputs'!AA$49+'HSM Safety Inputs'!AA$56+'HSM Safety Inputs'!AA$63),0))+'[1]Queue Attributed Crashes'!$E$67)</f>
        <v>1.0625</v>
      </c>
      <c r="F27" s="412">
        <f>((IF(('HSM Safety Inputs'!AA$50+'HSM Safety Inputs'!AA$57+'HSM Safety Inputs'!AA$64)&gt;0,('HSM Safety Inputs'!AA$50+'HSM Safety Inputs'!AA$57+'HSM Safety Inputs'!AA$64),0))+'[1]Queue Attributed Crashes'!$F$67)</f>
        <v>6.200000000000002</v>
      </c>
      <c r="G27" s="412">
        <f>((IF(('HSM Safety Inputs'!AA$51+'HSM Safety Inputs'!AA$58+'HSM Safety Inputs'!AA$65)&gt;0,('HSM Safety Inputs'!AA$51+'HSM Safety Inputs'!AA$58+'HSM Safety Inputs'!AA$65),0))+'[1]Queue Attributed Crashes'!$G$67)</f>
        <v>5.25</v>
      </c>
      <c r="H27" s="359">
        <f>(D27*'Fixed Inputs &amp; Assumptions'!$C$56)+(E27*'Fixed Inputs &amp; Assumptions'!$C$55)+(F27*'Fixed Inputs &amp; Assumptions'!$C$53)+(G27*'Fixed Inputs &amp; Assumptions'!$C$58)</f>
        <v>5587265.0000000009</v>
      </c>
      <c r="I27" s="360">
        <f t="shared" si="0"/>
        <v>1029448.9808487961</v>
      </c>
    </row>
    <row r="28" spans="2:9">
      <c r="B28" s="269">
        <v>24</v>
      </c>
      <c r="C28" s="270">
        <v>2046</v>
      </c>
      <c r="D28" s="410">
        <f>((IF(('HSM Safety Inputs'!AB$48+'HSM Safety Inputs'!AB$55+'HSM Safety Inputs'!AB$62)&gt;0,('HSM Safety Inputs'!AB$48+'HSM Safety Inputs'!AB$55+'HSM Safety Inputs'!AB$62),0))+'[1]Queue Attributed Crashes'!$D$67)</f>
        <v>0.38750000000000007</v>
      </c>
      <c r="E28" s="410">
        <f>((IF(('HSM Safety Inputs'!AB$49+'HSM Safety Inputs'!AB$56+'HSM Safety Inputs'!AB$63)&gt;0,('HSM Safety Inputs'!AB$49+'HSM Safety Inputs'!AB$56+'HSM Safety Inputs'!AB$63),0))+'[1]Queue Attributed Crashes'!$E$67)</f>
        <v>1.0625</v>
      </c>
      <c r="F28" s="410">
        <f>((IF(('HSM Safety Inputs'!AB$50+'HSM Safety Inputs'!AB$57+'HSM Safety Inputs'!AB$64)&gt;0,('HSM Safety Inputs'!AB$50+'HSM Safety Inputs'!AB$57+'HSM Safety Inputs'!AB$64),0))+'[1]Queue Attributed Crashes'!$F$67)</f>
        <v>6.1999999999999984</v>
      </c>
      <c r="G28" s="410">
        <f>((IF(('HSM Safety Inputs'!AB$51+'HSM Safety Inputs'!AB$58+'HSM Safety Inputs'!AB$65)&gt;0,('HSM Safety Inputs'!AB$51+'HSM Safety Inputs'!AB$58+'HSM Safety Inputs'!AB$65),0))+'[1]Queue Attributed Crashes'!$G$67)</f>
        <v>5.25</v>
      </c>
      <c r="H28" s="272">
        <f>(D28*'Fixed Inputs &amp; Assumptions'!$C$56)+(E28*'Fixed Inputs &amp; Assumptions'!$C$55)+(F28*'Fixed Inputs &amp; Assumptions'!$C$53)+(G28*'Fixed Inputs &amp; Assumptions'!$C$58)</f>
        <v>5587265.0000000009</v>
      </c>
      <c r="I28" s="273">
        <f t="shared" si="0"/>
        <v>962101.85126055719</v>
      </c>
    </row>
    <row r="29" spans="2:9">
      <c r="B29" s="356">
        <v>25</v>
      </c>
      <c r="C29" s="357">
        <v>2047</v>
      </c>
      <c r="D29" s="412">
        <f>((IF(('HSM Safety Inputs'!AC$48+'HSM Safety Inputs'!AC$55+'HSM Safety Inputs'!AC$62)&gt;0,('HSM Safety Inputs'!AC$48+'HSM Safety Inputs'!AC$55+'HSM Safety Inputs'!AC$62),0))+'[1]Queue Attributed Crashes'!$D$67)</f>
        <v>0.38750000000000007</v>
      </c>
      <c r="E29" s="412">
        <f>((IF(('HSM Safety Inputs'!AC$49+'HSM Safety Inputs'!AC$56+'HSM Safety Inputs'!AC$63)&gt;0,('HSM Safety Inputs'!AC$49+'HSM Safety Inputs'!AC$56+'HSM Safety Inputs'!AC$63),0))+'[1]Queue Attributed Crashes'!$E$67)</f>
        <v>1.0625</v>
      </c>
      <c r="F29" s="412">
        <f>((IF(('HSM Safety Inputs'!AC$50+'HSM Safety Inputs'!AC$57+'HSM Safety Inputs'!AC$64)&gt;0,('HSM Safety Inputs'!AC$50+'HSM Safety Inputs'!AC$57+'HSM Safety Inputs'!AC$64),0))+'[1]Queue Attributed Crashes'!$F$67)</f>
        <v>6.1999999999999984</v>
      </c>
      <c r="G29" s="412">
        <f>((IF(('HSM Safety Inputs'!AC$51+'HSM Safety Inputs'!AC$58+'HSM Safety Inputs'!AC$65)&gt;0,('HSM Safety Inputs'!AC$51+'HSM Safety Inputs'!AC$58+'HSM Safety Inputs'!AC$65),0))+'[1]Queue Attributed Crashes'!$G$67)</f>
        <v>5.25</v>
      </c>
      <c r="H29" s="359">
        <f>(D29*'Fixed Inputs &amp; Assumptions'!$C$56)+(E29*'Fixed Inputs &amp; Assumptions'!$C$55)+(F29*'Fixed Inputs &amp; Assumptions'!$C$53)+(G29*'Fixed Inputs &amp; Assumptions'!$C$58)</f>
        <v>5587265.0000000009</v>
      </c>
      <c r="I29" s="360">
        <f t="shared" si="0"/>
        <v>899160.60865472618</v>
      </c>
    </row>
    <row r="30" spans="2:9">
      <c r="B30" s="269">
        <v>26</v>
      </c>
      <c r="C30" s="270">
        <v>2048</v>
      </c>
      <c r="D30" s="410">
        <f>((IF(('HSM Safety Inputs'!AD$48+'HSM Safety Inputs'!AD$55+'HSM Safety Inputs'!AD$62)&gt;0,('HSM Safety Inputs'!AD$48+'HSM Safety Inputs'!AD$55+'HSM Safety Inputs'!AD$62),0))+'[1]Queue Attributed Crashes'!$D$67)</f>
        <v>0.38750000000000007</v>
      </c>
      <c r="E30" s="410">
        <f>((IF(('HSM Safety Inputs'!AD$49+'HSM Safety Inputs'!AD$56+'HSM Safety Inputs'!AD$63)&gt;0,('HSM Safety Inputs'!AD$49+'HSM Safety Inputs'!AD$56+'HSM Safety Inputs'!AD$63),0))+'[1]Queue Attributed Crashes'!$E$67)</f>
        <v>1.0625</v>
      </c>
      <c r="F30" s="410">
        <f>((IF(('HSM Safety Inputs'!AD$50+'HSM Safety Inputs'!AD$57+'HSM Safety Inputs'!AD$64)&gt;0,('HSM Safety Inputs'!AD$50+'HSM Safety Inputs'!AD$57+'HSM Safety Inputs'!AD$64),0))+'[1]Queue Attributed Crashes'!$F$67)</f>
        <v>6.1999999999999984</v>
      </c>
      <c r="G30" s="410">
        <f>((IF(('HSM Safety Inputs'!AD$51+'HSM Safety Inputs'!AD$58+'HSM Safety Inputs'!AD$65)&gt;0,('HSM Safety Inputs'!AD$51+'HSM Safety Inputs'!AD$58+'HSM Safety Inputs'!AD$65),0))+'[1]Queue Attributed Crashes'!$G$67)</f>
        <v>5.25</v>
      </c>
      <c r="H30" s="272">
        <f>(D30*'Fixed Inputs &amp; Assumptions'!$C$56)+(E30*'Fixed Inputs &amp; Assumptions'!$C$55)+(F30*'Fixed Inputs &amp; Assumptions'!$C$53)+(G30*'Fixed Inputs &amp; Assumptions'!$C$58)</f>
        <v>5587265.0000000009</v>
      </c>
      <c r="I30" s="273">
        <f t="shared" si="0"/>
        <v>840337.01743432367</v>
      </c>
    </row>
    <row r="31" spans="2:9">
      <c r="B31" s="356">
        <v>27</v>
      </c>
      <c r="C31" s="357">
        <v>2049</v>
      </c>
      <c r="D31" s="412">
        <f>((IF(('HSM Safety Inputs'!AE$48+'HSM Safety Inputs'!AE$55+'HSM Safety Inputs'!AE$62)&gt;0,('HSM Safety Inputs'!AE$48+'HSM Safety Inputs'!AE$55+'HSM Safety Inputs'!AE$62),0))+'[1]Queue Attributed Crashes'!$D$67)</f>
        <v>0.38750000000000007</v>
      </c>
      <c r="E31" s="412">
        <f>((IF(('HSM Safety Inputs'!AE$49+'HSM Safety Inputs'!AE$56+'HSM Safety Inputs'!AE$63)&gt;0,('HSM Safety Inputs'!AE$49+'HSM Safety Inputs'!AE$56+'HSM Safety Inputs'!AE$63),0))+'[1]Queue Attributed Crashes'!$E$67)</f>
        <v>1.0625</v>
      </c>
      <c r="F31" s="412">
        <f>((IF(('HSM Safety Inputs'!AE$50+'HSM Safety Inputs'!AE$57+'HSM Safety Inputs'!AE$64)&gt;0,('HSM Safety Inputs'!AE$50+'HSM Safety Inputs'!AE$57+'HSM Safety Inputs'!AE$64),0))+'[1]Queue Attributed Crashes'!$F$67)</f>
        <v>6.1999999999999984</v>
      </c>
      <c r="G31" s="412">
        <f>((IF(('HSM Safety Inputs'!AE$51+'HSM Safety Inputs'!AE$58+'HSM Safety Inputs'!AE$65)&gt;0,('HSM Safety Inputs'!AE$51+'HSM Safety Inputs'!AE$58+'HSM Safety Inputs'!AE$65),0))+'[1]Queue Attributed Crashes'!$G$67)</f>
        <v>5.25</v>
      </c>
      <c r="H31" s="359">
        <f>(D31*'Fixed Inputs &amp; Assumptions'!$C$56)+(E31*'Fixed Inputs &amp; Assumptions'!$C$55)+(F31*'Fixed Inputs &amp; Assumptions'!$C$53)+(G31*'Fixed Inputs &amp; Assumptions'!$C$58)</f>
        <v>5587265.0000000009</v>
      </c>
      <c r="I31" s="360">
        <f t="shared" si="0"/>
        <v>785361.69853675109</v>
      </c>
    </row>
    <row r="32" spans="2:9" ht="16.5" customHeight="1">
      <c r="B32" s="269">
        <v>28</v>
      </c>
      <c r="C32" s="270">
        <v>2050</v>
      </c>
      <c r="D32" s="410">
        <f>((IF(('HSM Safety Inputs'!AF$48+'HSM Safety Inputs'!AF$55+'HSM Safety Inputs'!AF$62)&gt;0,('HSM Safety Inputs'!AF$48+'HSM Safety Inputs'!AF$55+'HSM Safety Inputs'!AF$62),0))+'[1]Queue Attributed Crashes'!$D$67)</f>
        <v>0.36850000000000005</v>
      </c>
      <c r="E32" s="410">
        <f>((IF(('HSM Safety Inputs'!AF$49+'HSM Safety Inputs'!AF$56+'HSM Safety Inputs'!AF$63)&gt;0,('HSM Safety Inputs'!AF$49+'HSM Safety Inputs'!AF$56+'HSM Safety Inputs'!AF$63),0))+'[1]Queue Attributed Crashes'!$E$67)</f>
        <v>1.0295000000000001</v>
      </c>
      <c r="F32" s="410">
        <f>((IF(('HSM Safety Inputs'!AF$50+'HSM Safety Inputs'!AF$57+'HSM Safety Inputs'!AF$64)&gt;0,('HSM Safety Inputs'!AF$50+'HSM Safety Inputs'!AF$57+'HSM Safety Inputs'!AF$64),0))+'[1]Queue Attributed Crashes'!$F$67)</f>
        <v>6.1250000000000053</v>
      </c>
      <c r="G32" s="410">
        <f>((IF(('HSM Safety Inputs'!AF$51+'HSM Safety Inputs'!AF$58+'HSM Safety Inputs'!AF$65)&gt;0,('HSM Safety Inputs'!AF$51+'HSM Safety Inputs'!AF$58+'HSM Safety Inputs'!AF$65),0))+'[1]Queue Attributed Crashes'!$G$67)</f>
        <v>5.25</v>
      </c>
      <c r="H32" s="272">
        <f>(D32*'Fixed Inputs &amp; Assumptions'!$C$56)+(E32*'Fixed Inputs &amp; Assumptions'!$C$55)+(F32*'Fixed Inputs &amp; Assumptions'!$C$53)+(G32*'Fixed Inputs &amp; Assumptions'!$C$58)</f>
        <v>5342766.6000000015</v>
      </c>
      <c r="I32" s="273">
        <f t="shared" si="0"/>
        <v>701863.84587182966</v>
      </c>
    </row>
    <row r="33" spans="2:9" ht="16.5" customHeight="1">
      <c r="B33" s="356">
        <v>29</v>
      </c>
      <c r="C33" s="357">
        <v>2051</v>
      </c>
      <c r="D33" s="412">
        <f>((IF(('HSM Safety Inputs'!AG$48+'HSM Safety Inputs'!AG$55+'HSM Safety Inputs'!AG$62)&gt;0,('HSM Safety Inputs'!AG$48+'HSM Safety Inputs'!AG$55+'HSM Safety Inputs'!AG$62),0))+'[1]Queue Attributed Crashes'!$D$67)</f>
        <v>0.38750000000000007</v>
      </c>
      <c r="E33" s="412">
        <f>((IF(('HSM Safety Inputs'!AG$49+'HSM Safety Inputs'!AG$56+'HSM Safety Inputs'!AG$63)&gt;0,('HSM Safety Inputs'!AG$49+'HSM Safety Inputs'!AG$56+'HSM Safety Inputs'!AG$63),0))+'[1]Queue Attributed Crashes'!$E$67)</f>
        <v>1.0625</v>
      </c>
      <c r="F33" s="412">
        <f>((IF(('HSM Safety Inputs'!AG$50+'HSM Safety Inputs'!AG$57+'HSM Safety Inputs'!AG$64)&gt;0,('HSM Safety Inputs'!AG$50+'HSM Safety Inputs'!AG$57+'HSM Safety Inputs'!AG$64),0))+'[1]Queue Attributed Crashes'!$F$67)</f>
        <v>6.0999999999999979</v>
      </c>
      <c r="G33" s="412">
        <f>((IF(('HSM Safety Inputs'!AG$51+'HSM Safety Inputs'!AG$58+'HSM Safety Inputs'!AG$65)&gt;0,('HSM Safety Inputs'!AG$51+'HSM Safety Inputs'!AG$58+'HSM Safety Inputs'!AG$65),0))+'[1]Queue Attributed Crashes'!$G$67)</f>
        <v>5.25</v>
      </c>
      <c r="H33" s="359">
        <f>(D33*'Fixed Inputs &amp; Assumptions'!$C$56)+(E33*'Fixed Inputs &amp; Assumptions'!$C$55)+(F33*'Fixed Inputs &amp; Assumptions'!$C$53)+(G33*'Fixed Inputs &amp; Assumptions'!$C$58)</f>
        <v>5579545.0000000009</v>
      </c>
      <c r="I33" s="360">
        <f t="shared" si="0"/>
        <v>685017.51559280918</v>
      </c>
    </row>
    <row r="34" spans="2:9" ht="16.5" customHeight="1" thickBot="1">
      <c r="B34" s="269">
        <v>30</v>
      </c>
      <c r="C34" s="270">
        <v>2052</v>
      </c>
      <c r="D34" s="410">
        <f>((IF(('HSM Safety Inputs'!AH$48+'HSM Safety Inputs'!AH$55+'HSM Safety Inputs'!AH$62)&gt;0,('HSM Safety Inputs'!AH$48+'HSM Safety Inputs'!AH$55+'HSM Safety Inputs'!AH$62),0))+'[1]Queue Attributed Crashes'!$D$67)</f>
        <v>0.38750000000000007</v>
      </c>
      <c r="E34" s="410">
        <f>((IF(('HSM Safety Inputs'!AH$49+'HSM Safety Inputs'!AH$56+'HSM Safety Inputs'!AH$63)&gt;0,('HSM Safety Inputs'!AH$49+'HSM Safety Inputs'!AH$56+'HSM Safety Inputs'!AH$63),0))+'[1]Queue Attributed Crashes'!$E$67)</f>
        <v>1.0625</v>
      </c>
      <c r="F34" s="410">
        <f>((IF(('HSM Safety Inputs'!AH$50+'HSM Safety Inputs'!AH$57+'HSM Safety Inputs'!AH$64)&gt;0,('HSM Safety Inputs'!AH$50+'HSM Safety Inputs'!AH$57+'HSM Safety Inputs'!AH$64),0))+'[1]Queue Attributed Crashes'!$F$67)</f>
        <v>6.0999999999999979</v>
      </c>
      <c r="G34" s="410">
        <f>((IF(('HSM Safety Inputs'!AH$51+'HSM Safety Inputs'!AH$58+'HSM Safety Inputs'!AH$65)&gt;0,('HSM Safety Inputs'!AH$51+'HSM Safety Inputs'!AH$58+'HSM Safety Inputs'!AH$65),0))+'[1]Queue Attributed Crashes'!$G$67)</f>
        <v>5.25</v>
      </c>
      <c r="H34" s="272">
        <f>(D34*'Fixed Inputs &amp; Assumptions'!$C$56)+(E34*'Fixed Inputs &amp; Assumptions'!$C$55)+(F34*'Fixed Inputs &amp; Assumptions'!$C$53)+(G34*'Fixed Inputs &amp; Assumptions'!$C$58)</f>
        <v>5579545.0000000009</v>
      </c>
      <c r="I34" s="273">
        <f t="shared" si="0"/>
        <v>640203.2856007563</v>
      </c>
    </row>
    <row r="35" spans="2:9" ht="20.100000000000001" customHeight="1" thickBot="1">
      <c r="B35" s="531" t="s">
        <v>73</v>
      </c>
      <c r="C35" s="532"/>
      <c r="D35" s="532"/>
      <c r="E35" s="532"/>
      <c r="F35" s="532"/>
      <c r="G35" s="532"/>
      <c r="H35" s="533"/>
      <c r="I35" s="277">
        <f>SUM(I4:I34)</f>
        <v>38061503.337072767</v>
      </c>
    </row>
    <row r="36" spans="2:9">
      <c r="B36" t="s">
        <v>74</v>
      </c>
    </row>
    <row r="37" spans="2:9">
      <c r="B37" t="s">
        <v>81</v>
      </c>
    </row>
    <row r="38" spans="2:9">
      <c r="B38" t="s">
        <v>82</v>
      </c>
    </row>
  </sheetData>
  <mergeCells count="2">
    <mergeCell ref="B35:H35"/>
    <mergeCell ref="B2:I2"/>
  </mergeCells>
  <pageMargins left="0.7" right="0.7" top="0.75" bottom="0.75" header="0.3" footer="0.3"/>
  <pageSetup scale="62"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9185F-6387-4329-909D-2EDAC0531429}">
  <sheetPr>
    <tabColor rgb="FF0096D6"/>
    <pageSetUpPr fitToPage="1"/>
  </sheetPr>
  <dimension ref="B1:R52"/>
  <sheetViews>
    <sheetView zoomScale="85" zoomScaleNormal="85" workbookViewId="0">
      <selection activeCell="P36" sqref="B2:P36"/>
    </sheetView>
  </sheetViews>
  <sheetFormatPr defaultRowHeight="15"/>
  <cols>
    <col min="2" max="2" width="6.42578125" customWidth="1"/>
    <col min="3" max="3" width="17.28515625" customWidth="1"/>
    <col min="4" max="4" width="19.42578125" customWidth="1"/>
    <col min="5" max="5" width="17.42578125" customWidth="1"/>
    <col min="6" max="6" width="18.28515625" customWidth="1"/>
    <col min="7" max="7" width="19" customWidth="1"/>
    <col min="8" max="8" width="11.140625" bestFit="1" customWidth="1"/>
    <col min="9" max="9" width="5.28515625" bestFit="1" customWidth="1"/>
    <col min="10" max="10" width="12.28515625" bestFit="1" customWidth="1"/>
    <col min="11" max="11" width="13.5703125" bestFit="1" customWidth="1"/>
    <col min="12" max="12" width="15.28515625" bestFit="1" customWidth="1"/>
    <col min="13" max="13" width="12.5703125" customWidth="1"/>
    <col min="14" max="14" width="18.42578125" bestFit="1" customWidth="1"/>
    <col min="15" max="15" width="18.5703125" customWidth="1"/>
    <col min="16" max="16" width="20.42578125" customWidth="1"/>
    <col min="17" max="17" width="18.140625" bestFit="1" customWidth="1"/>
    <col min="18" max="19" width="11.5703125" bestFit="1" customWidth="1"/>
    <col min="20" max="20" width="12.5703125" bestFit="1" customWidth="1"/>
    <col min="23" max="23" width="18.28515625" customWidth="1"/>
  </cols>
  <sheetData>
    <row r="1" spans="2:18" ht="15.75" thickBot="1"/>
    <row r="2" spans="2:18" ht="24.95" customHeight="1" thickBot="1">
      <c r="B2" s="538" t="s">
        <v>83</v>
      </c>
      <c r="C2" s="539"/>
      <c r="D2" s="539"/>
      <c r="E2" s="539"/>
      <c r="F2" s="539"/>
      <c r="G2" s="539"/>
      <c r="H2" s="539"/>
      <c r="I2" s="539"/>
      <c r="J2" s="539"/>
      <c r="K2" s="539"/>
      <c r="L2" s="539"/>
      <c r="M2" s="539"/>
      <c r="N2" s="539"/>
      <c r="O2" s="539"/>
      <c r="P2" s="540"/>
    </row>
    <row r="3" spans="2:18" ht="39.950000000000003" customHeight="1">
      <c r="B3" s="544" t="s">
        <v>52</v>
      </c>
      <c r="C3" s="546" t="s">
        <v>68</v>
      </c>
      <c r="D3" s="546" t="s">
        <v>84</v>
      </c>
      <c r="E3" s="548" t="s">
        <v>85</v>
      </c>
      <c r="F3" s="546" t="s">
        <v>86</v>
      </c>
      <c r="G3" s="548" t="s">
        <v>87</v>
      </c>
      <c r="H3" s="541" t="s">
        <v>88</v>
      </c>
      <c r="I3" s="542"/>
      <c r="J3" s="543"/>
      <c r="K3" s="541" t="s">
        <v>89</v>
      </c>
      <c r="L3" s="542"/>
      <c r="M3" s="543"/>
      <c r="N3" s="552" t="s">
        <v>90</v>
      </c>
      <c r="O3" s="550" t="s">
        <v>91</v>
      </c>
      <c r="P3" s="537" t="s">
        <v>92</v>
      </c>
    </row>
    <row r="4" spans="2:18" ht="39.950000000000003" customHeight="1">
      <c r="B4" s="545"/>
      <c r="C4" s="547"/>
      <c r="D4" s="547"/>
      <c r="E4" s="549"/>
      <c r="F4" s="547"/>
      <c r="G4" s="549"/>
      <c r="H4" s="368" t="s">
        <v>93</v>
      </c>
      <c r="I4" s="368" t="s">
        <v>94</v>
      </c>
      <c r="J4" s="368" t="s">
        <v>95</v>
      </c>
      <c r="K4" s="369" t="s">
        <v>93</v>
      </c>
      <c r="L4" s="368" t="s">
        <v>94</v>
      </c>
      <c r="M4" s="370" t="s">
        <v>95</v>
      </c>
      <c r="N4" s="553"/>
      <c r="O4" s="551"/>
      <c r="P4" s="537"/>
    </row>
    <row r="5" spans="2:18">
      <c r="B5" s="269">
        <v>0</v>
      </c>
      <c r="C5" s="270">
        <v>2022</v>
      </c>
      <c r="D5" s="271">
        <v>0</v>
      </c>
      <c r="E5" s="286">
        <v>0</v>
      </c>
      <c r="F5" s="271">
        <v>0</v>
      </c>
      <c r="G5" s="271">
        <v>0</v>
      </c>
      <c r="H5" s="288">
        <v>0</v>
      </c>
      <c r="I5" s="289" t="s">
        <v>96</v>
      </c>
      <c r="J5" s="290">
        <v>0</v>
      </c>
      <c r="K5" s="288">
        <v>0</v>
      </c>
      <c r="L5" s="291">
        <v>0</v>
      </c>
      <c r="M5" s="292">
        <v>0</v>
      </c>
      <c r="N5" s="301">
        <f>SUM(H5:M5)</f>
        <v>0</v>
      </c>
      <c r="O5" s="293">
        <f t="shared" ref="O5:O35" si="0">J5+M5</f>
        <v>0</v>
      </c>
      <c r="P5" s="302">
        <f>(N5/(1.07^(C5-2020)))+(O5/(1.07^(C5-2020)))</f>
        <v>0</v>
      </c>
    </row>
    <row r="6" spans="2:18">
      <c r="B6" s="356">
        <v>1</v>
      </c>
      <c r="C6" s="357">
        <v>2023</v>
      </c>
      <c r="D6" s="358">
        <v>0</v>
      </c>
      <c r="E6" s="371">
        <v>0</v>
      </c>
      <c r="F6" s="358">
        <v>0</v>
      </c>
      <c r="G6" s="371">
        <v>0</v>
      </c>
      <c r="H6" s="372">
        <v>0</v>
      </c>
      <c r="I6" s="373" t="s">
        <v>96</v>
      </c>
      <c r="J6" s="374">
        <v>0</v>
      </c>
      <c r="K6" s="372">
        <v>0</v>
      </c>
      <c r="L6" s="372">
        <v>0</v>
      </c>
      <c r="M6" s="375">
        <v>0</v>
      </c>
      <c r="N6" s="376">
        <f>SUM(H6:M6)</f>
        <v>0</v>
      </c>
      <c r="O6" s="377">
        <f t="shared" si="0"/>
        <v>0</v>
      </c>
      <c r="P6" s="378">
        <f>(N6/(1.07^(C6-2020)))+(O6/(1.07^(C6-2020)))</f>
        <v>0</v>
      </c>
      <c r="R6" s="215"/>
    </row>
    <row r="7" spans="2:18">
      <c r="B7" s="269">
        <v>2</v>
      </c>
      <c r="C7" s="270">
        <v>2024</v>
      </c>
      <c r="D7" s="271">
        <v>0</v>
      </c>
      <c r="E7" s="287">
        <v>0</v>
      </c>
      <c r="F7" s="271">
        <v>0</v>
      </c>
      <c r="G7" s="287">
        <v>0</v>
      </c>
      <c r="H7" s="288">
        <v>0</v>
      </c>
      <c r="I7" s="294" t="s">
        <v>96</v>
      </c>
      <c r="J7" s="290">
        <v>0</v>
      </c>
      <c r="K7" s="288">
        <v>0</v>
      </c>
      <c r="L7" s="288">
        <v>0</v>
      </c>
      <c r="M7" s="292">
        <v>0</v>
      </c>
      <c r="N7" s="301">
        <f>SUM(H7:M7)</f>
        <v>0</v>
      </c>
      <c r="O7" s="293">
        <f t="shared" si="0"/>
        <v>0</v>
      </c>
      <c r="P7" s="302">
        <f>(N7/(1.07^(C7-2020)))+(O7/(1.07^(C7-2020)))</f>
        <v>0</v>
      </c>
    </row>
    <row r="8" spans="2:18">
      <c r="B8" s="356">
        <v>3</v>
      </c>
      <c r="C8" s="357" t="s">
        <v>62</v>
      </c>
      <c r="D8" s="358">
        <v>0</v>
      </c>
      <c r="E8" s="371">
        <v>0</v>
      </c>
      <c r="F8" s="371">
        <v>0</v>
      </c>
      <c r="G8" s="371">
        <v>0</v>
      </c>
      <c r="H8" s="372">
        <f>(D8+F8)*'Fixed Inputs &amp; Assumptions'!$C$62*'Fixed Inputs &amp; Assumptions'!$C$79*'Fixed Inputs &amp; Assumptions'!$C$80*'Fixed Inputs &amp; Assumptions'!$H8</f>
        <v>0</v>
      </c>
      <c r="I8" s="373" t="s">
        <v>96</v>
      </c>
      <c r="J8" s="374">
        <f>(D8+F8)*'Fixed Inputs &amp; Assumptions'!$C$76*'Fixed Inputs &amp; Assumptions'!$C$72*'Fixed Inputs &amp; Assumptions'!$C$79*'Fixed Inputs &amp; Assumptions'!$C$80*'Fixed Inputs &amp; Assumptions'!$K4</f>
        <v>0</v>
      </c>
      <c r="K8" s="381">
        <f>(E8+G8)*'Fixed Inputs &amp; Assumptions'!$C$67*'Fixed Inputs &amp; Assumptions'!$C$79*'Fixed Inputs &amp; Assumptions'!$C$80*'Fixed Inputs &amp; Assumptions'!$H8</f>
        <v>0</v>
      </c>
      <c r="L8" s="372">
        <f>(E8+G8)*'Fixed Inputs &amp; Assumptions'!$C$68*'Fixed Inputs &amp; Assumptions'!$C$79*'Fixed Inputs &amp; Assumptions'!$C$80*'Fixed Inputs &amp; Assumptions'!$J8</f>
        <v>0</v>
      </c>
      <c r="M8" s="375">
        <f>(E8+G8)*'Fixed Inputs &amp; Assumptions'!$C$77*'Fixed Inputs &amp; Assumptions'!$C$74*'Fixed Inputs &amp; Assumptions'!$C$79*'Fixed Inputs &amp; Assumptions'!$C$80*'Fixed Inputs &amp; Assumptions'!$K4</f>
        <v>0</v>
      </c>
      <c r="N8" s="376">
        <f t="shared" ref="N8:N35" si="1">SUM(H8:I8,K8:L8)</f>
        <v>0</v>
      </c>
      <c r="O8" s="377">
        <f t="shared" si="0"/>
        <v>0</v>
      </c>
      <c r="P8" s="378">
        <f>(N8/(1.07^(2025-2020)))+(O8/(1.07^(2025-2020)))</f>
        <v>0</v>
      </c>
    </row>
    <row r="9" spans="2:18">
      <c r="B9" s="269">
        <v>4</v>
      </c>
      <c r="C9" s="270" t="s">
        <v>63</v>
      </c>
      <c r="D9" s="271">
        <f>('Fixed Inputs &amp; Assumptions'!$C$33*('Traffic Inputs'!$G$86+(2*'Traffic Inputs'!E95)))*(1/'Fixed Inputs &amp; Assumptions'!C31)</f>
        <v>15737.192770731581</v>
      </c>
      <c r="E9" s="287">
        <f>('Fixed Inputs &amp; Assumptions'!$C$34*('Traffic Inputs'!$G$86+(2*'Traffic Inputs'!E95)))*(1/'Fixed Inputs &amp; Assumptions'!C31)</f>
        <v>44790.471732082195</v>
      </c>
      <c r="F9" s="295">
        <f>(('I-44 Incident Reports'!$D$135-'I-44 Incident Reports'!$D$136)/60)*'Fixed Inputs &amp; Assumptions'!$C$34*(2/'Fixed Inputs &amp; Assumptions'!$C$31)</f>
        <v>0.74391871111111074</v>
      </c>
      <c r="G9" s="296">
        <f>(('I-44 Incident Reports'!$D$135-'I-44 Incident Reports'!$D$136)/60)*'Fixed Inputs &amp; Assumptions'!$C$33*(2/'Fixed Inputs &amp; Assumptions'!$C$31)</f>
        <v>0.26137684444444431</v>
      </c>
      <c r="H9" s="288">
        <f>(D9+F9)*'Fixed Inputs &amp; Assumptions'!$C$62*'Fixed Inputs &amp; Assumptions'!$C$79*'Fixed Inputs &amp; Assumptions'!$C$80*'Fixed Inputs &amp; Assumptions'!$H9</f>
        <v>862.48966431106373</v>
      </c>
      <c r="I9" s="294" t="s">
        <v>96</v>
      </c>
      <c r="J9" s="290">
        <f>(D9+F9)*'Fixed Inputs &amp; Assumptions'!$C$76*'Fixed Inputs &amp; Assumptions'!$C$72*'Fixed Inputs &amp; Assumptions'!$C$79*'Fixed Inputs &amp; Assumptions'!$C$80*'Fixed Inputs &amp; Assumptions'!$K5</f>
        <v>2889.3465097924495</v>
      </c>
      <c r="K9" s="297">
        <f>(E9+G9)*'Fixed Inputs &amp; Assumptions'!$C$67*'Fixed Inputs &amp; Assumptions'!$C$79*'Fixed Inputs &amp; Assumptions'!$C$80*'Fixed Inputs &amp; Assumptions'!$H9</f>
        <v>23578.163540074653</v>
      </c>
      <c r="L9" s="288">
        <f>(E9+G9)*'Fixed Inputs &amp; Assumptions'!$C$68*'Fixed Inputs &amp; Assumptions'!$C$79*'Fixed Inputs &amp; Assumptions'!$C$80*'Fixed Inputs &amp; Assumptions'!$J9</f>
        <v>37242.895547341002</v>
      </c>
      <c r="M9" s="292">
        <f>(E9+G9)*'Fixed Inputs &amp; Assumptions'!$C$77*'Fixed Inputs &amp; Assumptions'!$C$74*'Fixed Inputs &amp; Assumptions'!$C$79*'Fixed Inputs &amp; Assumptions'!$C$80*'Fixed Inputs &amp; Assumptions'!$K5</f>
        <v>25791.770347847782</v>
      </c>
      <c r="N9" s="301">
        <f t="shared" si="1"/>
        <v>61683.548751726717</v>
      </c>
      <c r="O9" s="293">
        <f t="shared" si="0"/>
        <v>28681.116857640231</v>
      </c>
      <c r="P9" s="302">
        <f>(N9/(1.07^(2025-2020)))+(O9/(1.07^(2025-2020)))</f>
        <v>64428.757693141779</v>
      </c>
    </row>
    <row r="10" spans="2:18">
      <c r="B10" s="356">
        <v>5</v>
      </c>
      <c r="C10" s="357" t="s">
        <v>64</v>
      </c>
      <c r="D10" s="358">
        <f>('Fixed Inputs &amp; Assumptions'!$C$33*('Traffic Inputs'!$G$86+'Traffic Inputs'!E95))*(2/'Fixed Inputs &amp; Assumptions'!C31)</f>
        <v>29234.963713773162</v>
      </c>
      <c r="E10" s="371">
        <f>('Fixed Inputs &amp; Assumptions'!$C$34*('Traffic Inputs'!$G$86+'Traffic Inputs'!E95))*(2/'Fixed Inputs &amp; Assumptions'!C31)</f>
        <v>83207.204416123612</v>
      </c>
      <c r="F10" s="379">
        <f>(('I-44 Incident Reports'!$D$135-'I-44 Incident Reports'!$D$136)/60)*'Fixed Inputs &amp; Assumptions'!$C$34</f>
        <v>1.1158780666666661</v>
      </c>
      <c r="G10" s="380">
        <f>(('I-44 Incident Reports'!$D$135-'I-44 Incident Reports'!$D$136)/60)*'Fixed Inputs &amp; Assumptions'!$C$33</f>
        <v>0.39206526666666652</v>
      </c>
      <c r="H10" s="372">
        <f>(D10+F10)*'Fixed Inputs &amp; Assumptions'!$C$62*'Fixed Inputs &amp; Assumptions'!$C$79*'Fixed Inputs &amp; Assumptions'!$C$80*'Fixed Inputs &amp; Assumptions'!$H10</f>
        <v>1630.8426839187587</v>
      </c>
      <c r="I10" s="373" t="s">
        <v>96</v>
      </c>
      <c r="J10" s="374">
        <f>(D10+F10)*'Fixed Inputs &amp; Assumptions'!$C$76*'Fixed Inputs &amp; Assumptions'!$C$72*'Fixed Inputs &amp; Assumptions'!$C$79*'Fixed Inputs &amp; Assumptions'!$C$80*'Fixed Inputs &amp; Assumptions'!$K6</f>
        <v>5468.7599473841046</v>
      </c>
      <c r="K10" s="381">
        <f>(E10+G10)*'Fixed Inputs &amp; Assumptions'!$C$67*'Fixed Inputs &amp; Assumptions'!$C$79*'Fixed Inputs &amp; Assumptions'!$C$80*'Fixed Inputs &amp; Assumptions'!$H10</f>
        <v>44583.238358099828</v>
      </c>
      <c r="L10" s="372">
        <f>(E10+G10)*'Fixed Inputs &amp; Assumptions'!$C$68*'Fixed Inputs &amp; Assumptions'!$C$79*'Fixed Inputs &amp; Assumptions'!$C$80*'Fixed Inputs &amp; Assumptions'!$J10</f>
        <v>70281.76724692568</v>
      </c>
      <c r="M10" s="375">
        <f>(E10+G10)*'Fixed Inputs &amp; Assumptions'!$C$77*'Fixed Inputs &amp; Assumptions'!$C$74*'Fixed Inputs &amp; Assumptions'!$C$79*'Fixed Inputs &amp; Assumptions'!$C$80*'Fixed Inputs &amp; Assumptions'!$K6</f>
        <v>48817.31058367611</v>
      </c>
      <c r="N10" s="376">
        <f t="shared" si="1"/>
        <v>116495.84828894427</v>
      </c>
      <c r="O10" s="377">
        <f t="shared" si="0"/>
        <v>54286.070531060213</v>
      </c>
      <c r="P10" s="378">
        <f>(N10/(1.07^(2025-2020)))+(O10/(1.07^(2025-2020)))</f>
        <v>121765.14782436499</v>
      </c>
    </row>
    <row r="11" spans="2:18">
      <c r="B11" s="269">
        <v>6</v>
      </c>
      <c r="C11" s="270">
        <v>2028</v>
      </c>
      <c r="D11" s="271">
        <f>D10+('Fixed Inputs &amp; Assumptions'!$C$33*'Traffic Inputs'!$E$95)</f>
        <v>32594.096455308161</v>
      </c>
      <c r="E11" s="287">
        <f>E10+('Fixed Inputs &amp; Assumptions'!$C$34*'Traffic Inputs'!$E$95)</f>
        <v>92767.812988184771</v>
      </c>
      <c r="F11" s="295">
        <f>(('I-44 Incident Reports'!$D$135-'I-44 Incident Reports'!$D$136)/60)*'Fixed Inputs &amp; Assumptions'!$C$34</f>
        <v>1.1158780666666661</v>
      </c>
      <c r="G11" s="296">
        <f>(('I-44 Incident Reports'!$D$135-'I-44 Incident Reports'!$D$136)/60)*'Fixed Inputs &amp; Assumptions'!$C$33</f>
        <v>0.39206526666666652</v>
      </c>
      <c r="H11" s="288">
        <f>(D11+F11)*'Fixed Inputs &amp; Assumptions'!$C$62*'Fixed Inputs &amp; Assumptions'!$C$79*'Fixed Inputs &amp; Assumptions'!$C$80*'Fixed Inputs &amp; Assumptions'!$H11</f>
        <v>1850.1199513977872</v>
      </c>
      <c r="I11" s="294" t="s">
        <v>96</v>
      </c>
      <c r="J11" s="290">
        <f>(D11+F11)*'Fixed Inputs &amp; Assumptions'!$C$76*'Fixed Inputs &amp; Assumptions'!$C$72*'Fixed Inputs &amp; Assumptions'!$C$79*'Fixed Inputs &amp; Assumptions'!$C$80*'Fixed Inputs &amp; Assumptions'!$K7</f>
        <v>6210.0124227279848</v>
      </c>
      <c r="K11" s="297">
        <f>(E11+G11)*'Fixed Inputs &amp; Assumptions'!$C$67*'Fixed Inputs &amp; Assumptions'!$C$79*'Fixed Inputs &amp; Assumptions'!$C$80*'Fixed Inputs &amp; Assumptions'!$H11</f>
        <v>50577.915332360622</v>
      </c>
      <c r="L11" s="288">
        <f>(E11+G11)*'Fixed Inputs &amp; Assumptions'!$C$68*'Fixed Inputs &amp; Assumptions'!$C$79*'Fixed Inputs &amp; Assumptions'!$C$80*'Fixed Inputs &amp; Assumptions'!$J11</f>
        <v>79607.267819905857</v>
      </c>
      <c r="M11" s="292">
        <f>(E11+G11)*'Fixed Inputs &amp; Assumptions'!$C$77*'Fixed Inputs &amp; Assumptions'!$C$74*'Fixed Inputs &amp; Assumptions'!$C$79*'Fixed Inputs &amp; Assumptions'!$C$80*'Fixed Inputs &amp; Assumptions'!$K7</f>
        <v>55434.349534120738</v>
      </c>
      <c r="N11" s="301">
        <f t="shared" si="1"/>
        <v>132035.30310366425</v>
      </c>
      <c r="O11" s="293">
        <f t="shared" si="0"/>
        <v>61644.361956848719</v>
      </c>
      <c r="P11" s="302">
        <f t="shared" ref="P11:P35" si="2">(N11/(1.07^(C11-2020)))+(O11/(1.07^(C11-2020)))</f>
        <v>112723.3284343257</v>
      </c>
    </row>
    <row r="12" spans="2:18">
      <c r="B12" s="356">
        <v>7</v>
      </c>
      <c r="C12" s="357">
        <v>2029</v>
      </c>
      <c r="D12" s="358">
        <f>D11+('Fixed Inputs &amp; Assumptions'!$C$33*'Traffic Inputs'!$E$95)</f>
        <v>35953.22919684316</v>
      </c>
      <c r="E12" s="371">
        <f>E11+('Fixed Inputs &amp; Assumptions'!$C$34*'Traffic Inputs'!$E$95)</f>
        <v>102328.42156024593</v>
      </c>
      <c r="F12" s="379">
        <f>(('I-44 Incident Reports'!$D$135-'I-44 Incident Reports'!$D$136)/60)*'Fixed Inputs &amp; Assumptions'!$C$34</f>
        <v>1.1158780666666661</v>
      </c>
      <c r="G12" s="380">
        <f>(('I-44 Incident Reports'!$D$135-'I-44 Incident Reports'!$D$136)/60)*'Fixed Inputs &amp; Assumptions'!$C$33</f>
        <v>0.39206526666666652</v>
      </c>
      <c r="H12" s="372">
        <f>(D12+F12)*'Fixed Inputs &amp; Assumptions'!$C$62*'Fixed Inputs &amp; Assumptions'!$C$79*'Fixed Inputs &amp; Assumptions'!$C$80*'Fixed Inputs &amp; Assumptions'!$H12</f>
        <v>2075.97190826725</v>
      </c>
      <c r="I12" s="373" t="s">
        <v>96</v>
      </c>
      <c r="J12" s="374">
        <f>(D12+F12)*'Fixed Inputs &amp; Assumptions'!$C$76*'Fixed Inputs &amp; Assumptions'!$C$72*'Fixed Inputs &amp; Assumptions'!$C$79*'Fixed Inputs &amp; Assumptions'!$C$80*'Fixed Inputs &amp; Assumptions'!$K8</f>
        <v>6974.5368669076834</v>
      </c>
      <c r="K12" s="381">
        <f>(E12+G12)*'Fixed Inputs &amp; Assumptions'!$C$67*'Fixed Inputs &amp; Assumptions'!$C$79*'Fixed Inputs &amp; Assumptions'!$C$80*'Fixed Inputs &amp; Assumptions'!$H12</f>
        <v>56752.334199649107</v>
      </c>
      <c r="L12" s="372">
        <f>(E12+G12)*'Fixed Inputs &amp; Assumptions'!$C$68*'Fixed Inputs &amp; Assumptions'!$C$79*'Fixed Inputs &amp; Assumptions'!$C$80*'Fixed Inputs &amp; Assumptions'!$J12</f>
        <v>89211.324915316771</v>
      </c>
      <c r="M12" s="375">
        <f>(E12+G12)*'Fixed Inputs &amp; Assumptions'!$C$77*'Fixed Inputs &amp; Assumptions'!$C$74*'Fixed Inputs &amp; Assumptions'!$C$79*'Fixed Inputs &amp; Assumptions'!$C$80*'Fixed Inputs &amp; Assumptions'!$K8</f>
        <v>62259.134472942678</v>
      </c>
      <c r="N12" s="376">
        <f t="shared" si="1"/>
        <v>148039.63102323312</v>
      </c>
      <c r="O12" s="377">
        <f t="shared" si="0"/>
        <v>69233.671339850363</v>
      </c>
      <c r="P12" s="378">
        <f t="shared" si="2"/>
        <v>118182.28051796921</v>
      </c>
    </row>
    <row r="13" spans="2:18">
      <c r="B13" s="269">
        <v>8</v>
      </c>
      <c r="C13" s="270">
        <v>2030</v>
      </c>
      <c r="D13" s="271">
        <f>D12+('Fixed Inputs &amp; Assumptions'!$C$33*'Traffic Inputs'!$E$95)</f>
        <v>39312.361938378162</v>
      </c>
      <c r="E13" s="287">
        <f>E12+('Fixed Inputs &amp; Assumptions'!$C$34*'Traffic Inputs'!$E$95)</f>
        <v>111889.03013230709</v>
      </c>
      <c r="F13" s="295">
        <f>(('I-44 Incident Reports'!$D$135-'I-44 Incident Reports'!$D$136)/60)*'Fixed Inputs &amp; Assumptions'!$C$34</f>
        <v>1.1158780666666661</v>
      </c>
      <c r="G13" s="296">
        <f>(('I-44 Incident Reports'!$D$135-'I-44 Incident Reports'!$D$136)/60)*'Fixed Inputs &amp; Assumptions'!$C$33</f>
        <v>0.39206526666666652</v>
      </c>
      <c r="H13" s="288">
        <f>(D13+F13)*'Fixed Inputs &amp; Assumptions'!$C$62*'Fixed Inputs &amp; Assumptions'!$C$79*'Fixed Inputs &amp; Assumptions'!$C$80*'Fixed Inputs &amp; Assumptions'!$H13</f>
        <v>2321.2229909411849</v>
      </c>
      <c r="I13" s="294" t="s">
        <v>96</v>
      </c>
      <c r="J13" s="290">
        <f>(D13+F13)*'Fixed Inputs &amp; Assumptions'!$C$76*'Fixed Inputs &amp; Assumptions'!$C$72*'Fixed Inputs &amp; Assumptions'!$C$79*'Fixed Inputs &amp; Assumptions'!$C$80*'Fixed Inputs &amp; Assumptions'!$K9</f>
        <v>7762.3332799231976</v>
      </c>
      <c r="K13" s="297">
        <f>(E13+G13)*'Fixed Inputs &amp; Assumptions'!$C$67*'Fixed Inputs &amp; Assumptions'!$C$79*'Fixed Inputs &amp; Assumptions'!$C$80*'Fixed Inputs &amp; Assumptions'!$H13</f>
        <v>63457.086598631759</v>
      </c>
      <c r="L13" s="288">
        <f>(E13+G13)*'Fixed Inputs &amp; Assumptions'!$C$68*'Fixed Inputs &amp; Assumptions'!$C$79*'Fixed Inputs &amp; Assumptions'!$C$80*'Fixed Inputs &amp; Assumptions'!$J13</f>
        <v>99099.794531805805</v>
      </c>
      <c r="M13" s="292">
        <f>(E13+G13)*'Fixed Inputs &amp; Assumptions'!$C$77*'Fixed Inputs &amp; Assumptions'!$C$74*'Fixed Inputs &amp; Assumptions'!$C$79*'Fixed Inputs &amp; Assumptions'!$C$80*'Fixed Inputs &amp; Assumptions'!$K9</f>
        <v>69291.665400141967</v>
      </c>
      <c r="N13" s="301">
        <f t="shared" si="1"/>
        <v>164878.10412137874</v>
      </c>
      <c r="O13" s="293">
        <f t="shared" si="0"/>
        <v>77053.998680065168</v>
      </c>
      <c r="P13" s="302">
        <f t="shared" si="2"/>
        <v>122986.01320377778</v>
      </c>
    </row>
    <row r="14" spans="2:18">
      <c r="B14" s="356">
        <v>9</v>
      </c>
      <c r="C14" s="357">
        <v>2031</v>
      </c>
      <c r="D14" s="358">
        <f>D13+('Fixed Inputs &amp; Assumptions'!$C$33*'Traffic Inputs'!$E$95)</f>
        <v>42671.494679913165</v>
      </c>
      <c r="E14" s="371">
        <f>E13+('Fixed Inputs &amp; Assumptions'!$C$34*'Traffic Inputs'!$E$95)</f>
        <v>121449.63870436825</v>
      </c>
      <c r="F14" s="379">
        <f>(('I-44 Incident Reports'!$D$135-'I-44 Incident Reports'!$D$136)/60)*'Fixed Inputs &amp; Assumptions'!$C$34</f>
        <v>1.1158780666666661</v>
      </c>
      <c r="G14" s="380">
        <f>(('I-44 Incident Reports'!$D$135-'I-44 Incident Reports'!$D$136)/60)*'Fixed Inputs &amp; Assumptions'!$C$33</f>
        <v>0.39206526666666652</v>
      </c>
      <c r="H14" s="372">
        <f>(D14+F14)*'Fixed Inputs &amp; Assumptions'!$C$62*'Fixed Inputs &amp; Assumptions'!$C$79*'Fixed Inputs &amp; Assumptions'!$C$80*'Fixed Inputs &amp; Assumptions'!$H14</f>
        <v>2519.5594542192507</v>
      </c>
      <c r="I14" s="373" t="s">
        <v>96</v>
      </c>
      <c r="J14" s="374">
        <f>(D14+F14)*'Fixed Inputs &amp; Assumptions'!$C$76*'Fixed Inputs &amp; Assumptions'!$C$72*'Fixed Inputs &amp; Assumptions'!$C$79*'Fixed Inputs &amp; Assumptions'!$C$80*'Fixed Inputs &amp; Assumptions'!$K10</f>
        <v>8573.4016617745274</v>
      </c>
      <c r="K14" s="381">
        <f>(E14+G14)*'Fixed Inputs &amp; Assumptions'!$C$67*'Fixed Inputs &amp; Assumptions'!$C$79*'Fixed Inputs &amp; Assumptions'!$C$80*'Fixed Inputs &amp; Assumptions'!$H14</f>
        <v>68879.300371633624</v>
      </c>
      <c r="L14" s="372">
        <f>(E14+G14)*'Fixed Inputs &amp; Assumptions'!$C$68*'Fixed Inputs &amp; Assumptions'!$C$79*'Fixed Inputs &amp; Assumptions'!$C$80*'Fixed Inputs &amp; Assumptions'!$J14</f>
        <v>107567.56857587292</v>
      </c>
      <c r="M14" s="375">
        <f>(E14+G14)*'Fixed Inputs &amp; Assumptions'!$C$77*'Fixed Inputs &amp; Assumptions'!$C$74*'Fixed Inputs &amp; Assumptions'!$C$79*'Fixed Inputs &amp; Assumptions'!$C$80*'Fixed Inputs &amp; Assumptions'!$K10</f>
        <v>76531.942315718552</v>
      </c>
      <c r="N14" s="376">
        <f t="shared" si="1"/>
        <v>178966.4284017258</v>
      </c>
      <c r="O14" s="377">
        <f t="shared" si="0"/>
        <v>85105.343977493074</v>
      </c>
      <c r="P14" s="378">
        <f t="shared" si="2"/>
        <v>125458.59678666937</v>
      </c>
    </row>
    <row r="15" spans="2:18">
      <c r="B15" s="269">
        <v>10</v>
      </c>
      <c r="C15" s="270">
        <v>2032</v>
      </c>
      <c r="D15" s="271">
        <f>D14+('Fixed Inputs &amp; Assumptions'!$C$33*'Traffic Inputs'!$E$95)</f>
        <v>46030.627421448167</v>
      </c>
      <c r="E15" s="287">
        <f>E14+('Fixed Inputs &amp; Assumptions'!$C$34*'Traffic Inputs'!$E$95)</f>
        <v>131010.24727642941</v>
      </c>
      <c r="F15" s="295">
        <f>(('I-44 Incident Reports'!$D$135-'I-44 Incident Reports'!$D$136)/60)*'Fixed Inputs &amp; Assumptions'!$C$34</f>
        <v>1.1158780666666661</v>
      </c>
      <c r="G15" s="296">
        <f>(('I-44 Incident Reports'!$D$135-'I-44 Incident Reports'!$D$136)/60)*'Fixed Inputs &amp; Assumptions'!$C$33</f>
        <v>0.39206526666666652</v>
      </c>
      <c r="H15" s="288">
        <f>(D15+F15)*'Fixed Inputs &amp; Assumptions'!$C$62*'Fixed Inputs &amp; Assumptions'!$C$79*'Fixed Inputs &amp; Assumptions'!$C$80*'Fixed Inputs &amp; Assumptions'!$H15</f>
        <v>2717.8959174973156</v>
      </c>
      <c r="I15" s="294" t="s">
        <v>96</v>
      </c>
      <c r="J15" s="290">
        <f>(D15+F15)*'Fixed Inputs &amp; Assumptions'!$C$76*'Fixed Inputs &amp; Assumptions'!$C$72*'Fixed Inputs &amp; Assumptions'!$C$79*'Fixed Inputs &amp; Assumptions'!$C$80*'Fixed Inputs &amp; Assumptions'!$K11</f>
        <v>9567.1952669101756</v>
      </c>
      <c r="K15" s="297">
        <f>(E15+G15)*'Fixed Inputs &amp; Assumptions'!$C$67*'Fixed Inputs &amp; Assumptions'!$C$79*'Fixed Inputs &amp; Assumptions'!$C$80*'Fixed Inputs &amp; Assumptions'!$H15</f>
        <v>74301.514144635512</v>
      </c>
      <c r="L15" s="288">
        <f>(E15+G15)*'Fixed Inputs &amp; Assumptions'!$C$68*'Fixed Inputs &amp; Assumptions'!$C$79*'Fixed Inputs &amp; Assumptions'!$C$80*'Fixed Inputs &amp; Assumptions'!$J15</f>
        <v>116035.34261994006</v>
      </c>
      <c r="M15" s="292">
        <f>(E15+G15)*'Fixed Inputs &amp; Assumptions'!$C$77*'Fixed Inputs &amp; Assumptions'!$C$74*'Fixed Inputs &amp; Assumptions'!$C$79*'Fixed Inputs &amp; Assumptions'!$C$80*'Fixed Inputs &amp; Assumptions'!$K11</f>
        <v>85403.35446068387</v>
      </c>
      <c r="N15" s="301">
        <f t="shared" si="1"/>
        <v>193054.75268207287</v>
      </c>
      <c r="O15" s="293">
        <f t="shared" si="0"/>
        <v>94970.549727594043</v>
      </c>
      <c r="P15" s="302">
        <f t="shared" si="2"/>
        <v>127886.67883382148</v>
      </c>
    </row>
    <row r="16" spans="2:18">
      <c r="B16" s="356">
        <v>11</v>
      </c>
      <c r="C16" s="357">
        <v>2033</v>
      </c>
      <c r="D16" s="358">
        <f>D15+('Fixed Inputs &amp; Assumptions'!$C$33*'Traffic Inputs'!$E$95)</f>
        <v>49389.76016298317</v>
      </c>
      <c r="E16" s="371">
        <f>E15+('Fixed Inputs &amp; Assumptions'!$C$34*'Traffic Inputs'!$E$95)</f>
        <v>140570.85584849055</v>
      </c>
      <c r="F16" s="379">
        <f>(('I-44 Incident Reports'!$D$135-'I-44 Incident Reports'!$D$136)/60)*'Fixed Inputs &amp; Assumptions'!$C$34</f>
        <v>1.1158780666666661</v>
      </c>
      <c r="G16" s="380">
        <f>(('I-44 Incident Reports'!$D$135-'I-44 Incident Reports'!$D$136)/60)*'Fixed Inputs &amp; Assumptions'!$C$33</f>
        <v>0.39206526666666652</v>
      </c>
      <c r="H16" s="372">
        <f>(D16+F16)*'Fixed Inputs &amp; Assumptions'!$C$62*'Fixed Inputs &amp; Assumptions'!$C$79*'Fixed Inputs &amp; Assumptions'!$C$80*'Fixed Inputs &amp; Assumptions'!$H16</f>
        <v>2916.2323807753805</v>
      </c>
      <c r="I16" s="373" t="s">
        <v>96</v>
      </c>
      <c r="J16" s="374">
        <f>(D16+F16)*'Fixed Inputs &amp; Assumptions'!$C$76*'Fixed Inputs &amp; Assumptions'!$C$72*'Fixed Inputs &amp; Assumptions'!$C$79*'Fixed Inputs &amp; Assumptions'!$C$80*'Fixed Inputs &amp; Assumptions'!$K12</f>
        <v>10436.443570851043</v>
      </c>
      <c r="K16" s="381">
        <f>(E16+G16)*'Fixed Inputs &amp; Assumptions'!$C$67*'Fixed Inputs &amp; Assumptions'!$C$79*'Fixed Inputs &amp; Assumptions'!$C$80*'Fixed Inputs &amp; Assumptions'!$H16</f>
        <v>79723.727917637356</v>
      </c>
      <c r="L16" s="372">
        <f>(E16+G16)*'Fixed Inputs &amp; Assumptions'!$C$68*'Fixed Inputs &amp; Assumptions'!$C$79*'Fixed Inputs &amp; Assumptions'!$C$80*'Fixed Inputs &amp; Assumptions'!$J16</f>
        <v>124503.11666400715</v>
      </c>
      <c r="M16" s="375">
        <f>(E16+G16)*'Fixed Inputs &amp; Assumptions'!$C$77*'Fixed Inputs &amp; Assumptions'!$C$74*'Fixed Inputs &amp; Assumptions'!$C$79*'Fixed Inputs &amp; Assumptions'!$C$80*'Fixed Inputs &amp; Assumptions'!$K12</f>
        <v>93162.996347203793</v>
      </c>
      <c r="N16" s="376">
        <f t="shared" si="1"/>
        <v>207143.0769624199</v>
      </c>
      <c r="O16" s="377">
        <f t="shared" si="0"/>
        <v>103599.43991805484</v>
      </c>
      <c r="P16" s="378">
        <f t="shared" si="2"/>
        <v>128947.09695280078</v>
      </c>
    </row>
    <row r="17" spans="2:16">
      <c r="B17" s="269">
        <v>12</v>
      </c>
      <c r="C17" s="270">
        <v>2034</v>
      </c>
      <c r="D17" s="271">
        <f>D16+('Fixed Inputs &amp; Assumptions'!$C$33*'Traffic Inputs'!$E$95)</f>
        <v>52748.892904518172</v>
      </c>
      <c r="E17" s="287">
        <f>E16+('Fixed Inputs &amp; Assumptions'!$C$34*'Traffic Inputs'!$E$95)</f>
        <v>150131.4644205517</v>
      </c>
      <c r="F17" s="295">
        <f>(('I-44 Incident Reports'!$D$135-'I-44 Incident Reports'!$D$136)/60)*'Fixed Inputs &amp; Assumptions'!$C$34</f>
        <v>1.1158780666666661</v>
      </c>
      <c r="G17" s="296">
        <f>(('I-44 Incident Reports'!$D$135-'I-44 Incident Reports'!$D$136)/60)*'Fixed Inputs &amp; Assumptions'!$C$33</f>
        <v>0.39206526666666652</v>
      </c>
      <c r="H17" s="288">
        <f>(D17+F17)*'Fixed Inputs &amp; Assumptions'!$C$62*'Fixed Inputs &amp; Assumptions'!$C$79*'Fixed Inputs &amp; Assumptions'!$C$80*'Fixed Inputs &amp; Assumptions'!$H17</f>
        <v>3114.5688440534459</v>
      </c>
      <c r="I17" s="294" t="s">
        <v>96</v>
      </c>
      <c r="J17" s="290">
        <f>(D17+F17)*'Fixed Inputs &amp; Assumptions'!$C$76*'Fixed Inputs &amp; Assumptions'!$C$72*'Fixed Inputs &amp; Assumptions'!$C$79*'Fixed Inputs &amp; Assumptions'!$C$80*'Fixed Inputs &amp; Assumptions'!$K13</f>
        <v>11328.963843627727</v>
      </c>
      <c r="K17" s="297">
        <f>(E17+G17)*'Fixed Inputs &amp; Assumptions'!$C$67*'Fixed Inputs &amp; Assumptions'!$C$79*'Fixed Inputs &amp; Assumptions'!$C$80*'Fixed Inputs &amp; Assumptions'!$H17</f>
        <v>85145.941690639229</v>
      </c>
      <c r="L17" s="288">
        <f>(E17+G17)*'Fixed Inputs &amp; Assumptions'!$C$68*'Fixed Inputs &amp; Assumptions'!$C$79*'Fixed Inputs &amp; Assumptions'!$C$80*'Fixed Inputs &amp; Assumptions'!$J17</f>
        <v>132970.89070807424</v>
      </c>
      <c r="M17" s="292">
        <f>(E17+G17)*'Fixed Inputs &amp; Assumptions'!$C$77*'Fixed Inputs &amp; Assumptions'!$C$74*'Fixed Inputs &amp; Assumptions'!$C$79*'Fixed Inputs &amp; Assumptions'!$C$80*'Fixed Inputs &amp; Assumptions'!$K13</f>
        <v>101130.38422210106</v>
      </c>
      <c r="N17" s="301">
        <f t="shared" si="1"/>
        <v>221231.40124276691</v>
      </c>
      <c r="O17" s="293">
        <f t="shared" si="0"/>
        <v>112459.34806572879</v>
      </c>
      <c r="P17" s="302">
        <f t="shared" si="2"/>
        <v>129411.02574982462</v>
      </c>
    </row>
    <row r="18" spans="2:16">
      <c r="B18" s="356">
        <v>13</v>
      </c>
      <c r="C18" s="357">
        <v>2035</v>
      </c>
      <c r="D18" s="358">
        <f>D17+('Fixed Inputs &amp; Assumptions'!$C$33*'Traffic Inputs'!$E$95)</f>
        <v>56108.025646053175</v>
      </c>
      <c r="E18" s="371">
        <f>E17+('Fixed Inputs &amp; Assumptions'!$C$34*'Traffic Inputs'!$E$95)</f>
        <v>159692.07299261284</v>
      </c>
      <c r="F18" s="379">
        <f>(('I-44 Incident Reports'!$D$135-'I-44 Incident Reports'!$D$136)/60)*'Fixed Inputs &amp; Assumptions'!$C$34</f>
        <v>1.1158780666666661</v>
      </c>
      <c r="G18" s="380">
        <f>(('I-44 Incident Reports'!$D$135-'I-44 Incident Reports'!$D$136)/60)*'Fixed Inputs &amp; Assumptions'!$C$33</f>
        <v>0.39206526666666652</v>
      </c>
      <c r="H18" s="372">
        <f>(D18+F18)*'Fixed Inputs &amp; Assumptions'!$C$62*'Fixed Inputs &amp; Assumptions'!$C$79*'Fixed Inputs &amp; Assumptions'!$C$80*'Fixed Inputs &amp; Assumptions'!$H18</f>
        <v>3312.9053073315113</v>
      </c>
      <c r="I18" s="373" t="s">
        <v>96</v>
      </c>
      <c r="J18" s="374">
        <f>(D18+F18)*'Fixed Inputs &amp; Assumptions'!$C$76*'Fixed Inputs &amp; Assumptions'!$C$72*'Fixed Inputs &amp; Assumptions'!$C$79*'Fixed Inputs &amp; Assumptions'!$C$80*'Fixed Inputs &amp; Assumptions'!$K14</f>
        <v>12244.756085240224</v>
      </c>
      <c r="K18" s="381">
        <f>(E18+G18)*'Fixed Inputs &amp; Assumptions'!$C$67*'Fixed Inputs &amp; Assumptions'!$C$79*'Fixed Inputs &amp; Assumptions'!$C$80*'Fixed Inputs &amp; Assumptions'!$H18</f>
        <v>90568.155463641087</v>
      </c>
      <c r="L18" s="372">
        <f>(E18+G18)*'Fixed Inputs &amp; Assumptions'!$C$68*'Fixed Inputs &amp; Assumptions'!$C$79*'Fixed Inputs &amp; Assumptions'!$C$80*'Fixed Inputs &amp; Assumptions'!$J18</f>
        <v>141438.66475214137</v>
      </c>
      <c r="M18" s="375">
        <f>(E18+G18)*'Fixed Inputs &amp; Assumptions'!$C$77*'Fixed Inputs &amp; Assumptions'!$C$74*'Fixed Inputs &amp; Assumptions'!$C$79*'Fixed Inputs &amp; Assumptions'!$C$80*'Fixed Inputs &amp; Assumptions'!$K14</f>
        <v>109305.5180853756</v>
      </c>
      <c r="N18" s="376">
        <f t="shared" si="1"/>
        <v>235319.72552311397</v>
      </c>
      <c r="O18" s="377">
        <f t="shared" si="0"/>
        <v>121550.27417061583</v>
      </c>
      <c r="P18" s="378">
        <f t="shared" si="2"/>
        <v>129346.11091876248</v>
      </c>
    </row>
    <row r="19" spans="2:16">
      <c r="B19" s="269">
        <v>14</v>
      </c>
      <c r="C19" s="270">
        <v>2036</v>
      </c>
      <c r="D19" s="271">
        <f>D18+('Fixed Inputs &amp; Assumptions'!$C$33*'Traffic Inputs'!$E$95)</f>
        <v>59467.158387588177</v>
      </c>
      <c r="E19" s="287">
        <f>E18+('Fixed Inputs &amp; Assumptions'!$C$34*'Traffic Inputs'!$E$95)</f>
        <v>169252.68156467399</v>
      </c>
      <c r="F19" s="295">
        <f>(('I-44 Incident Reports'!$D$135-'I-44 Incident Reports'!$D$136)/60)*'Fixed Inputs &amp; Assumptions'!$C$34</f>
        <v>1.1158780666666661</v>
      </c>
      <c r="G19" s="296">
        <f>(('I-44 Incident Reports'!$D$135-'I-44 Incident Reports'!$D$136)/60)*'Fixed Inputs &amp; Assumptions'!$C$33</f>
        <v>0.39206526666666652</v>
      </c>
      <c r="H19" s="288">
        <f>(D19+F19)*'Fixed Inputs &amp; Assumptions'!$C$62*'Fixed Inputs &amp; Assumptions'!$C$79*'Fixed Inputs &amp; Assumptions'!$C$80*'Fixed Inputs &amp; Assumptions'!$H19</f>
        <v>3511.2417706095762</v>
      </c>
      <c r="I19" s="294" t="s">
        <v>96</v>
      </c>
      <c r="J19" s="290">
        <f>(D19+F19)*'Fixed Inputs &amp; Assumptions'!$C$76*'Fixed Inputs &amp; Assumptions'!$C$72*'Fixed Inputs &amp; Assumptions'!$C$79*'Fixed Inputs &amp; Assumptions'!$C$80*'Fixed Inputs &amp; Assumptions'!$K15</f>
        <v>13183.820295688536</v>
      </c>
      <c r="K19" s="297">
        <f>(E19+G19)*'Fixed Inputs &amp; Assumptions'!$C$67*'Fixed Inputs &amp; Assumptions'!$C$79*'Fixed Inputs &amp; Assumptions'!$C$80*'Fixed Inputs &amp; Assumptions'!$H19</f>
        <v>95990.36923664296</v>
      </c>
      <c r="L19" s="288">
        <f>(E19+G19)*'Fixed Inputs &amp; Assumptions'!$C$68*'Fixed Inputs &amp; Assumptions'!$C$79*'Fixed Inputs &amp; Assumptions'!$C$80*'Fixed Inputs &amp; Assumptions'!$J19</f>
        <v>149906.43879620844</v>
      </c>
      <c r="M19" s="292">
        <f>(E19+G19)*'Fixed Inputs &amp; Assumptions'!$C$77*'Fixed Inputs &amp; Assumptions'!$C$74*'Fixed Inputs &amp; Assumptions'!$C$79*'Fixed Inputs &amp; Assumptions'!$C$80*'Fixed Inputs &amp; Assumptions'!$K15</f>
        <v>117688.3979370275</v>
      </c>
      <c r="N19" s="301">
        <f t="shared" si="1"/>
        <v>249408.04980346098</v>
      </c>
      <c r="O19" s="293">
        <f t="shared" si="0"/>
        <v>130872.21823271604</v>
      </c>
      <c r="P19" s="302">
        <f t="shared" si="2"/>
        <v>128814.08364321686</v>
      </c>
    </row>
    <row r="20" spans="2:16">
      <c r="B20" s="356">
        <v>15</v>
      </c>
      <c r="C20" s="357">
        <v>2037</v>
      </c>
      <c r="D20" s="358">
        <f>D19+('Fixed Inputs &amp; Assumptions'!$C$33*'Traffic Inputs'!$E$95)</f>
        <v>62826.291129123179</v>
      </c>
      <c r="E20" s="371">
        <f>E19+('Fixed Inputs &amp; Assumptions'!$C$34*'Traffic Inputs'!$E$95)</f>
        <v>178813.29013673513</v>
      </c>
      <c r="F20" s="379">
        <f>(('I-44 Incident Reports'!$D$135-'I-44 Incident Reports'!$D$136)/60)*'Fixed Inputs &amp; Assumptions'!$C$34</f>
        <v>1.1158780666666661</v>
      </c>
      <c r="G20" s="380">
        <f>(('I-44 Incident Reports'!$D$135-'I-44 Incident Reports'!$D$136)/60)*'Fixed Inputs &amp; Assumptions'!$C$33</f>
        <v>0.39206526666666652</v>
      </c>
      <c r="H20" s="372">
        <f>(D20+F20)*'Fixed Inputs &amp; Assumptions'!$C$62*'Fixed Inputs &amp; Assumptions'!$C$79*'Fixed Inputs &amp; Assumptions'!$C$80*'Fixed Inputs &amp; Assumptions'!$H20</f>
        <v>3709.5782338876411</v>
      </c>
      <c r="I20" s="373" t="s">
        <v>96</v>
      </c>
      <c r="J20" s="374">
        <f>(D20+F20)*'Fixed Inputs &amp; Assumptions'!$C$76*'Fixed Inputs &amp; Assumptions'!$C$72*'Fixed Inputs &amp; Assumptions'!$C$79*'Fixed Inputs &amp; Assumptions'!$C$80*'Fixed Inputs &amp; Assumptions'!$K16</f>
        <v>14146.156474972668</v>
      </c>
      <c r="K20" s="381">
        <f>(E20+G20)*'Fixed Inputs &amp; Assumptions'!$C$67*'Fixed Inputs &amp; Assumptions'!$C$79*'Fixed Inputs &amp; Assumptions'!$C$80*'Fixed Inputs &amp; Assumptions'!$H20</f>
        <v>101412.58300964483</v>
      </c>
      <c r="L20" s="372">
        <f>(E20+G20)*'Fixed Inputs &amp; Assumptions'!$C$68*'Fixed Inputs &amp; Assumptions'!$C$79*'Fixed Inputs &amp; Assumptions'!$C$80*'Fixed Inputs &amp; Assumptions'!$J20</f>
        <v>158374.21284027558</v>
      </c>
      <c r="M20" s="375">
        <f>(E20+G20)*'Fixed Inputs &amp; Assumptions'!$C$77*'Fixed Inputs &amp; Assumptions'!$C$74*'Fixed Inputs &amp; Assumptions'!$C$79*'Fixed Inputs &amp; Assumptions'!$C$80*'Fixed Inputs &amp; Assumptions'!$K16</f>
        <v>126279.02377705672</v>
      </c>
      <c r="N20" s="376">
        <f t="shared" si="1"/>
        <v>263496.37408380804</v>
      </c>
      <c r="O20" s="377">
        <f t="shared" si="0"/>
        <v>140425.18025202939</v>
      </c>
      <c r="P20" s="378">
        <f t="shared" si="2"/>
        <v>127871.21985918368</v>
      </c>
    </row>
    <row r="21" spans="2:16">
      <c r="B21" s="269">
        <v>16</v>
      </c>
      <c r="C21" s="270">
        <v>2038</v>
      </c>
      <c r="D21" s="271">
        <f>D20+('Fixed Inputs &amp; Assumptions'!$C$33*'Traffic Inputs'!$E$95)</f>
        <v>66185.423870658182</v>
      </c>
      <c r="E21" s="287">
        <f>E20+('Fixed Inputs &amp; Assumptions'!$C$34*'Traffic Inputs'!$E$95)</f>
        <v>188373.89870879627</v>
      </c>
      <c r="F21" s="295">
        <f>(('I-44 Incident Reports'!$D$135-'I-44 Incident Reports'!$D$136)/60)*'Fixed Inputs &amp; Assumptions'!$C$34</f>
        <v>1.1158780666666661</v>
      </c>
      <c r="G21" s="296">
        <f>(('I-44 Incident Reports'!$D$135-'I-44 Incident Reports'!$D$136)/60)*'Fixed Inputs &amp; Assumptions'!$C$33</f>
        <v>0.39206526666666652</v>
      </c>
      <c r="H21" s="288">
        <f>(D21+F21)*'Fixed Inputs &amp; Assumptions'!$C$62*'Fixed Inputs &amp; Assumptions'!$C$79*'Fixed Inputs &amp; Assumptions'!$C$80*'Fixed Inputs &amp; Assumptions'!$H21</f>
        <v>3907.9146971657074</v>
      </c>
      <c r="I21" s="294" t="s">
        <v>96</v>
      </c>
      <c r="J21" s="290">
        <f>(D21+F21)*'Fixed Inputs &amp; Assumptions'!$C$76*'Fixed Inputs &amp; Assumptions'!$C$72*'Fixed Inputs &amp; Assumptions'!$C$79*'Fixed Inputs &amp; Assumptions'!$C$80*'Fixed Inputs &amp; Assumptions'!$K17</f>
        <v>15131.764623092613</v>
      </c>
      <c r="K21" s="297">
        <f>(E21+G21)*'Fixed Inputs &amp; Assumptions'!$C$67*'Fixed Inputs &amp; Assumptions'!$C$79*'Fixed Inputs &amp; Assumptions'!$C$80*'Fixed Inputs &amp; Assumptions'!$H21</f>
        <v>106834.79678264669</v>
      </c>
      <c r="L21" s="288">
        <f>(E21+G21)*'Fixed Inputs &amp; Assumptions'!$C$68*'Fixed Inputs &amp; Assumptions'!$C$79*'Fixed Inputs &amp; Assumptions'!$C$80*'Fixed Inputs &amp; Assumptions'!$J21</f>
        <v>166841.98688434265</v>
      </c>
      <c r="M21" s="292">
        <f>(E21+G21)*'Fixed Inputs &amp; Assumptions'!$C$77*'Fixed Inputs &amp; Assumptions'!$C$74*'Fixed Inputs &amp; Assumptions'!$C$79*'Fixed Inputs &amp; Assumptions'!$C$80*'Fixed Inputs &amp; Assumptions'!$K17</f>
        <v>135077.39560546327</v>
      </c>
      <c r="N21" s="301">
        <f t="shared" si="1"/>
        <v>277584.69836415502</v>
      </c>
      <c r="O21" s="293">
        <f t="shared" si="0"/>
        <v>150209.16022855588</v>
      </c>
      <c r="P21" s="302">
        <f t="shared" si="2"/>
        <v>126568.76638156746</v>
      </c>
    </row>
    <row r="22" spans="2:16">
      <c r="B22" s="356">
        <v>17</v>
      </c>
      <c r="C22" s="357">
        <v>2039</v>
      </c>
      <c r="D22" s="358">
        <f>D21+('Fixed Inputs &amp; Assumptions'!$C$33*'Traffic Inputs'!$E$95)</f>
        <v>69544.556612193177</v>
      </c>
      <c r="E22" s="371">
        <f>E21+('Fixed Inputs &amp; Assumptions'!$C$34*'Traffic Inputs'!$E$95)</f>
        <v>197934.50728085742</v>
      </c>
      <c r="F22" s="379">
        <f>(('I-44 Incident Reports'!$D$135-'I-44 Incident Reports'!$D$136)/60)*'Fixed Inputs &amp; Assumptions'!$C$34</f>
        <v>1.1158780666666661</v>
      </c>
      <c r="G22" s="380">
        <f>(('I-44 Incident Reports'!$D$135-'I-44 Incident Reports'!$D$136)/60)*'Fixed Inputs &amp; Assumptions'!$C$33</f>
        <v>0.39206526666666652</v>
      </c>
      <c r="H22" s="372">
        <f>(D22+F22)*'Fixed Inputs &amp; Assumptions'!$C$62*'Fixed Inputs &amp; Assumptions'!$C$79*'Fixed Inputs &amp; Assumptions'!$C$80*'Fixed Inputs &amp; Assumptions'!$H22</f>
        <v>4106.2511604437723</v>
      </c>
      <c r="I22" s="373" t="s">
        <v>96</v>
      </c>
      <c r="J22" s="374">
        <f>(D22+F22)*'Fixed Inputs &amp; Assumptions'!$C$76*'Fixed Inputs &amp; Assumptions'!$C$72*'Fixed Inputs &amp; Assumptions'!$C$79*'Fixed Inputs &amp; Assumptions'!$C$80*'Fixed Inputs &amp; Assumptions'!$K18</f>
        <v>16140.64474004837</v>
      </c>
      <c r="K22" s="381">
        <f>(E22+G22)*'Fixed Inputs &amp; Assumptions'!$C$67*'Fixed Inputs &amp; Assumptions'!$C$79*'Fixed Inputs &amp; Assumptions'!$C$80*'Fixed Inputs &amp; Assumptions'!$H22</f>
        <v>112257.01055564857</v>
      </c>
      <c r="L22" s="372">
        <f>(E22+G22)*'Fixed Inputs &amp; Assumptions'!$C$68*'Fixed Inputs &amp; Assumptions'!$C$79*'Fixed Inputs &amp; Assumptions'!$C$80*'Fixed Inputs &amp; Assumptions'!$J22</f>
        <v>175309.76092840976</v>
      </c>
      <c r="M22" s="375">
        <f>(E22+G22)*'Fixed Inputs &amp; Assumptions'!$C$77*'Fixed Inputs &amp; Assumptions'!$C$74*'Fixed Inputs &amp; Assumptions'!$C$79*'Fixed Inputs &amp; Assumptions'!$C$80*'Fixed Inputs &amp; Assumptions'!$K18</f>
        <v>144083.51342224717</v>
      </c>
      <c r="N22" s="376">
        <f t="shared" si="1"/>
        <v>291673.02264450211</v>
      </c>
      <c r="O22" s="377">
        <f t="shared" si="0"/>
        <v>160224.15816229553</v>
      </c>
      <c r="P22" s="378">
        <f t="shared" si="2"/>
        <v>124953.33615718555</v>
      </c>
    </row>
    <row r="23" spans="2:16">
      <c r="B23" s="269">
        <v>18</v>
      </c>
      <c r="C23" s="270">
        <v>2040</v>
      </c>
      <c r="D23" s="271">
        <f>D22+('Fixed Inputs &amp; Assumptions'!$C$33*'Traffic Inputs'!$E$95)</f>
        <v>72903.689353728172</v>
      </c>
      <c r="E23" s="287">
        <f>E22+('Fixed Inputs &amp; Assumptions'!$C$34*'Traffic Inputs'!$E$95)</f>
        <v>207495.11585291856</v>
      </c>
      <c r="F23" s="295">
        <f>(('I-44 Incident Reports'!$D$135-'I-44 Incident Reports'!$D$136)/60)*'Fixed Inputs &amp; Assumptions'!$C$34</f>
        <v>1.1158780666666661</v>
      </c>
      <c r="G23" s="296">
        <f>(('I-44 Incident Reports'!$D$135-'I-44 Incident Reports'!$D$136)/60)*'Fixed Inputs &amp; Assumptions'!$C$33</f>
        <v>0.39206526666666652</v>
      </c>
      <c r="H23" s="288">
        <f>(D23+F23)*'Fixed Inputs &amp; Assumptions'!$C$62*'Fixed Inputs &amp; Assumptions'!$C$79*'Fixed Inputs &amp; Assumptions'!$C$80*'Fixed Inputs &amp; Assumptions'!$H23</f>
        <v>4304.5876237218363</v>
      </c>
      <c r="I23" s="294" t="s">
        <v>96</v>
      </c>
      <c r="J23" s="290">
        <f>(D23+F23)*'Fixed Inputs &amp; Assumptions'!$C$76*'Fixed Inputs &amp; Assumptions'!$C$72*'Fixed Inputs &amp; Assumptions'!$C$79*'Fixed Inputs &amp; Assumptions'!$C$80*'Fixed Inputs &amp; Assumptions'!$K19</f>
        <v>17425.337955631705</v>
      </c>
      <c r="K23" s="297">
        <f>(E23+G23)*'Fixed Inputs &amp; Assumptions'!$C$67*'Fixed Inputs &amp; Assumptions'!$C$79*'Fixed Inputs &amp; Assumptions'!$C$80*'Fixed Inputs &amp; Assumptions'!$H23</f>
        <v>117679.22432865044</v>
      </c>
      <c r="L23" s="288">
        <f>(E23+G23)*'Fixed Inputs &amp; Assumptions'!$C$68*'Fixed Inputs &amp; Assumptions'!$C$79*'Fixed Inputs &amp; Assumptions'!$C$80*'Fixed Inputs &amp; Assumptions'!$J23</f>
        <v>183777.53497247686</v>
      </c>
      <c r="M23" s="292">
        <f>(E23+G23)*'Fixed Inputs &amp; Assumptions'!$C$77*'Fixed Inputs &amp; Assumptions'!$C$74*'Fixed Inputs &amp; Assumptions'!$C$79*'Fixed Inputs &amp; Assumptions'!$C$80*'Fixed Inputs &amp; Assumptions'!$K19</f>
        <v>155551.75042192911</v>
      </c>
      <c r="N23" s="301">
        <f t="shared" si="1"/>
        <v>305761.34692484915</v>
      </c>
      <c r="O23" s="293">
        <f t="shared" si="0"/>
        <v>172977.08837756081</v>
      </c>
      <c r="P23" s="302">
        <f t="shared" si="2"/>
        <v>123715.10905952056</v>
      </c>
    </row>
    <row r="24" spans="2:16">
      <c r="B24" s="356">
        <v>19</v>
      </c>
      <c r="C24" s="357">
        <v>2041</v>
      </c>
      <c r="D24" s="358">
        <f>D23+('Fixed Inputs &amp; Assumptions'!$C$33*'Traffic Inputs'!$E$95)</f>
        <v>76262.822095263167</v>
      </c>
      <c r="E24" s="371">
        <f>E23+('Fixed Inputs &amp; Assumptions'!$C$34*'Traffic Inputs'!$E$95)</f>
        <v>217055.72442497971</v>
      </c>
      <c r="F24" s="379">
        <f>(('I-44 Incident Reports'!$D$135-'I-44 Incident Reports'!$D$136)/60)*'Fixed Inputs &amp; Assumptions'!$C$34</f>
        <v>1.1158780666666661</v>
      </c>
      <c r="G24" s="380">
        <f>(('I-44 Incident Reports'!$D$135-'I-44 Incident Reports'!$D$136)/60)*'Fixed Inputs &amp; Assumptions'!$C$33</f>
        <v>0.39206526666666652</v>
      </c>
      <c r="H24" s="372">
        <f>(D24+F24)*'Fixed Inputs &amp; Assumptions'!$C$62*'Fixed Inputs &amp; Assumptions'!$C$79*'Fixed Inputs &amp; Assumptions'!$C$80*'Fixed Inputs &amp; Assumptions'!$H24</f>
        <v>4502.9240869999021</v>
      </c>
      <c r="I24" s="373" t="s">
        <v>96</v>
      </c>
      <c r="J24" s="374">
        <f>(D24+F24)*'Fixed Inputs &amp; Assumptions'!$C$76*'Fixed Inputs &amp; Assumptions'!$C$72*'Fixed Inputs &amp; Assumptions'!$C$79*'Fixed Inputs &amp; Assumptions'!$C$80*'Fixed Inputs &amp; Assumptions'!$K20</f>
        <v>18492.397994676998</v>
      </c>
      <c r="K24" s="381">
        <f>(E24+G24)*'Fixed Inputs &amp; Assumptions'!$C$67*'Fixed Inputs &amp; Assumptions'!$C$79*'Fixed Inputs &amp; Assumptions'!$C$80*'Fixed Inputs &amp; Assumptions'!$H24</f>
        <v>123101.43810165228</v>
      </c>
      <c r="L24" s="372">
        <f>(E24+G24)*'Fixed Inputs &amp; Assumptions'!$C$68*'Fixed Inputs &amp; Assumptions'!$C$79*'Fixed Inputs &amp; Assumptions'!$C$80*'Fixed Inputs &amp; Assumptions'!$J24</f>
        <v>192245.30901654396</v>
      </c>
      <c r="M24" s="375">
        <f>(E24+G24)*'Fixed Inputs &amp; Assumptions'!$C$77*'Fixed Inputs &amp; Assumptions'!$C$74*'Fixed Inputs &amp; Assumptions'!$C$79*'Fixed Inputs &amp; Assumptions'!$C$80*'Fixed Inputs &amp; Assumptions'!$K20</f>
        <v>165077.23320965629</v>
      </c>
      <c r="N24" s="376">
        <f t="shared" si="1"/>
        <v>319849.67120519618</v>
      </c>
      <c r="O24" s="377">
        <f t="shared" si="0"/>
        <v>183569.63120433327</v>
      </c>
      <c r="P24" s="378">
        <f t="shared" si="2"/>
        <v>121582.34965039627</v>
      </c>
    </row>
    <row r="25" spans="2:16">
      <c r="B25" s="269">
        <v>20</v>
      </c>
      <c r="C25" s="270">
        <v>2042</v>
      </c>
      <c r="D25" s="271">
        <f>D24+('Fixed Inputs &amp; Assumptions'!$C$33*'Traffic Inputs'!$E$95)</f>
        <v>79621.954836798162</v>
      </c>
      <c r="E25" s="287">
        <f>E24+('Fixed Inputs &amp; Assumptions'!$C$34*'Traffic Inputs'!$E$95)</f>
        <v>226616.33299704085</v>
      </c>
      <c r="F25" s="295">
        <f>(('I-44 Incident Reports'!$D$135-'I-44 Incident Reports'!$D$136)/60)*'Fixed Inputs &amp; Assumptions'!$C$34</f>
        <v>1.1158780666666661</v>
      </c>
      <c r="G25" s="296">
        <f>(('I-44 Incident Reports'!$D$135-'I-44 Incident Reports'!$D$136)/60)*'Fixed Inputs &amp; Assumptions'!$C$33</f>
        <v>0.39206526666666652</v>
      </c>
      <c r="H25" s="288">
        <f>(D25+F25)*'Fixed Inputs &amp; Assumptions'!$C$62*'Fixed Inputs &amp; Assumptions'!$C$79*'Fixed Inputs &amp; Assumptions'!$C$80*'Fixed Inputs &amp; Assumptions'!$H25</f>
        <v>4701.2605502779661</v>
      </c>
      <c r="I25" s="294" t="s">
        <v>96</v>
      </c>
      <c r="J25" s="290">
        <f>(D25+F25)*'Fixed Inputs &amp; Assumptions'!$C$76*'Fixed Inputs &amp; Assumptions'!$C$72*'Fixed Inputs &amp; Assumptions'!$C$79*'Fixed Inputs &amp; Assumptions'!$C$80*'Fixed Inputs &amp; Assumptions'!$K21</f>
        <v>19582.73000255811</v>
      </c>
      <c r="K25" s="297">
        <f>(E25+G25)*'Fixed Inputs &amp; Assumptions'!$C$67*'Fixed Inputs &amp; Assumptions'!$C$79*'Fixed Inputs &amp; Assumptions'!$C$80*'Fixed Inputs &amp; Assumptions'!$H25</f>
        <v>128523.65187465416</v>
      </c>
      <c r="L25" s="288">
        <f>(E25+G25)*'Fixed Inputs &amp; Assumptions'!$C$68*'Fixed Inputs &amp; Assumptions'!$C$79*'Fixed Inputs &amp; Assumptions'!$C$80*'Fixed Inputs &amp; Assumptions'!$J25</f>
        <v>200713.08306061104</v>
      </c>
      <c r="M25" s="292">
        <f>(E25+G25)*'Fixed Inputs &amp; Assumptions'!$C$77*'Fixed Inputs &amp; Assumptions'!$C$74*'Fixed Inputs &amp; Assumptions'!$C$79*'Fixed Inputs &amp; Assumptions'!$C$80*'Fixed Inputs &amp; Assumptions'!$K21</f>
        <v>174810.46198576086</v>
      </c>
      <c r="N25" s="301">
        <f t="shared" si="1"/>
        <v>333937.99548554316</v>
      </c>
      <c r="O25" s="293">
        <f t="shared" si="0"/>
        <v>194393.19198831898</v>
      </c>
      <c r="P25" s="302">
        <f t="shared" si="2"/>
        <v>119251.30458770422</v>
      </c>
    </row>
    <row r="26" spans="2:16">
      <c r="B26" s="356">
        <v>21</v>
      </c>
      <c r="C26" s="357">
        <v>2043</v>
      </c>
      <c r="D26" s="358">
        <f>D25+('Fixed Inputs &amp; Assumptions'!$C$33*'Traffic Inputs'!$E$95)</f>
        <v>82981.087578333158</v>
      </c>
      <c r="E26" s="371">
        <f>E25+('Fixed Inputs &amp; Assumptions'!$C$34*'Traffic Inputs'!$E$95)</f>
        <v>236176.941569102</v>
      </c>
      <c r="F26" s="379">
        <f>(('I-44 Incident Reports'!$D$135-'I-44 Incident Reports'!$D$136)/60)*'Fixed Inputs &amp; Assumptions'!$C$34</f>
        <v>1.1158780666666661</v>
      </c>
      <c r="G26" s="380">
        <f>(('I-44 Incident Reports'!$D$135-'I-44 Incident Reports'!$D$136)/60)*'Fixed Inputs &amp; Assumptions'!$C$33</f>
        <v>0.39206526666666652</v>
      </c>
      <c r="H26" s="372">
        <f>(D26+F26)*'Fixed Inputs &amp; Assumptions'!$C$62*'Fixed Inputs &amp; Assumptions'!$C$79*'Fixed Inputs &amp; Assumptions'!$C$80*'Fixed Inputs &amp; Assumptions'!$H26</f>
        <v>4899.5970135560319</v>
      </c>
      <c r="I26" s="373" t="s">
        <v>96</v>
      </c>
      <c r="J26" s="374">
        <f>(D26+F26)*'Fixed Inputs &amp; Assumptions'!$C$76*'Fixed Inputs &amp; Assumptions'!$C$72*'Fixed Inputs &amp; Assumptions'!$C$79*'Fixed Inputs &amp; Assumptions'!$C$80*'Fixed Inputs &amp; Assumptions'!$K22</f>
        <v>20696.333979275038</v>
      </c>
      <c r="K26" s="381">
        <f>(E26+G26)*'Fixed Inputs &amp; Assumptions'!$C$67*'Fixed Inputs &amp; Assumptions'!$C$79*'Fixed Inputs &amp; Assumptions'!$C$80*'Fixed Inputs &amp; Assumptions'!$H26</f>
        <v>133945.865647656</v>
      </c>
      <c r="L26" s="372">
        <f>(E26+G26)*'Fixed Inputs &amp; Assumptions'!$C$68*'Fixed Inputs &amp; Assumptions'!$C$79*'Fixed Inputs &amp; Assumptions'!$C$80*'Fixed Inputs &amp; Assumptions'!$J26</f>
        <v>209180.85710467817</v>
      </c>
      <c r="M26" s="375">
        <f>(E26+G26)*'Fixed Inputs &amp; Assumptions'!$C$77*'Fixed Inputs &amp; Assumptions'!$C$74*'Fixed Inputs &amp; Assumptions'!$C$79*'Fixed Inputs &amp; Assumptions'!$C$80*'Fixed Inputs &amp; Assumptions'!$K22</f>
        <v>184751.43675024269</v>
      </c>
      <c r="N26" s="376">
        <f t="shared" si="1"/>
        <v>348026.31976589019</v>
      </c>
      <c r="O26" s="377">
        <f t="shared" si="0"/>
        <v>205447.77072951774</v>
      </c>
      <c r="P26" s="378">
        <f t="shared" si="2"/>
        <v>116753.63440233219</v>
      </c>
    </row>
    <row r="27" spans="2:16">
      <c r="B27" s="269">
        <v>22</v>
      </c>
      <c r="C27" s="270">
        <v>2044</v>
      </c>
      <c r="D27" s="271">
        <f>D26+('Fixed Inputs &amp; Assumptions'!$C$33*'Traffic Inputs'!$E$95)</f>
        <v>86340.220319868153</v>
      </c>
      <c r="E27" s="287">
        <f>E26+('Fixed Inputs &amp; Assumptions'!$C$34*'Traffic Inputs'!$E$95)</f>
        <v>245737.55014116314</v>
      </c>
      <c r="F27" s="295">
        <f>(('I-44 Incident Reports'!$D$135-'I-44 Incident Reports'!$D$136)/60)*'Fixed Inputs &amp; Assumptions'!$C$34</f>
        <v>1.1158780666666661</v>
      </c>
      <c r="G27" s="296">
        <f>(('I-44 Incident Reports'!$D$135-'I-44 Incident Reports'!$D$136)/60)*'Fixed Inputs &amp; Assumptions'!$C$33</f>
        <v>0.39206526666666652</v>
      </c>
      <c r="H27" s="288">
        <f>(D27+F27)*'Fixed Inputs &amp; Assumptions'!$C$62*'Fixed Inputs &amp; Assumptions'!$C$79*'Fixed Inputs &amp; Assumptions'!$C$80*'Fixed Inputs &amp; Assumptions'!$H27</f>
        <v>5097.9334768340959</v>
      </c>
      <c r="I27" s="294" t="s">
        <v>96</v>
      </c>
      <c r="J27" s="290">
        <f>(D27+F27)*'Fixed Inputs &amp; Assumptions'!$C$76*'Fixed Inputs &amp; Assumptions'!$C$72*'Fixed Inputs &amp; Assumptions'!$C$79*'Fixed Inputs &amp; Assumptions'!$C$80*'Fixed Inputs &amp; Assumptions'!$K23</f>
        <v>21833.209924827774</v>
      </c>
      <c r="K27" s="297">
        <f>(E27+G27)*'Fixed Inputs &amp; Assumptions'!$C$67*'Fixed Inputs &amp; Assumptions'!$C$79*'Fixed Inputs &amp; Assumptions'!$C$80*'Fixed Inputs &amp; Assumptions'!$H27</f>
        <v>139368.07942065792</v>
      </c>
      <c r="L27" s="288">
        <f>(E27+G27)*'Fixed Inputs &amp; Assumptions'!$C$68*'Fixed Inputs &amp; Assumptions'!$C$79*'Fixed Inputs &amp; Assumptions'!$C$80*'Fixed Inputs &amp; Assumptions'!$J27</f>
        <v>217648.63114874533</v>
      </c>
      <c r="M27" s="292">
        <f>(E27+G27)*'Fixed Inputs &amp; Assumptions'!$C$77*'Fixed Inputs &amp; Assumptions'!$C$74*'Fixed Inputs &amp; Assumptions'!$C$79*'Fixed Inputs &amp; Assumptions'!$C$80*'Fixed Inputs &amp; Assumptions'!$K23</f>
        <v>194900.15750310192</v>
      </c>
      <c r="N27" s="301">
        <f t="shared" si="1"/>
        <v>362114.64404623734</v>
      </c>
      <c r="O27" s="293">
        <f t="shared" si="0"/>
        <v>216733.36742792968</v>
      </c>
      <c r="P27" s="302">
        <f t="shared" si="2"/>
        <v>114117.92892621412</v>
      </c>
    </row>
    <row r="28" spans="2:16">
      <c r="B28" s="356">
        <v>23</v>
      </c>
      <c r="C28" s="357">
        <v>2045</v>
      </c>
      <c r="D28" s="358">
        <f>D27+('Fixed Inputs &amp; Assumptions'!$C$33*'Traffic Inputs'!$E$95)</f>
        <v>89699.353061403148</v>
      </c>
      <c r="E28" s="371">
        <f>E27+('Fixed Inputs &amp; Assumptions'!$C$34*'Traffic Inputs'!$E$95)</f>
        <v>255298.15871322429</v>
      </c>
      <c r="F28" s="379">
        <f>(('I-44 Incident Reports'!$D$135-'I-44 Incident Reports'!$D$136)/60)*'Fixed Inputs &amp; Assumptions'!$C$34</f>
        <v>1.1158780666666661</v>
      </c>
      <c r="G28" s="380">
        <f>(('I-44 Incident Reports'!$D$135-'I-44 Incident Reports'!$D$136)/60)*'Fixed Inputs &amp; Assumptions'!$C$33</f>
        <v>0.39206526666666652</v>
      </c>
      <c r="H28" s="372">
        <f>(D28+F28)*'Fixed Inputs &amp; Assumptions'!$C$62*'Fixed Inputs &amp; Assumptions'!$C$79*'Fixed Inputs &amp; Assumptions'!$C$80*'Fixed Inputs &amp; Assumptions'!$H28</f>
        <v>5296.2699401121608</v>
      </c>
      <c r="I28" s="373" t="s">
        <v>96</v>
      </c>
      <c r="J28" s="374">
        <f>(D28+F28)*'Fixed Inputs &amp; Assumptions'!$C$76*'Fixed Inputs &amp; Assumptions'!$C$72*'Fixed Inputs &amp; Assumptions'!$C$79*'Fixed Inputs &amp; Assumptions'!$C$80*'Fixed Inputs &amp; Assumptions'!$K24</f>
        <v>22993.357839216336</v>
      </c>
      <c r="K28" s="381">
        <f>(E28+G28)*'Fixed Inputs &amp; Assumptions'!$C$67*'Fixed Inputs &amp; Assumptions'!$C$79*'Fixed Inputs &amp; Assumptions'!$C$80*'Fixed Inputs &amp; Assumptions'!$H28</f>
        <v>144790.29319365975</v>
      </c>
      <c r="L28" s="372">
        <f>(E28+G28)*'Fixed Inputs &amp; Assumptions'!$C$68*'Fixed Inputs &amp; Assumptions'!$C$79*'Fixed Inputs &amp; Assumptions'!$C$80*'Fixed Inputs &amp; Assumptions'!$J28</f>
        <v>226116.40519281238</v>
      </c>
      <c r="M28" s="375">
        <f>(E28+G28)*'Fixed Inputs &amp; Assumptions'!$C$77*'Fixed Inputs &amp; Assumptions'!$C$74*'Fixed Inputs &amp; Assumptions'!$C$79*'Fixed Inputs &amp; Assumptions'!$C$80*'Fixed Inputs &amp; Assumptions'!$K24</f>
        <v>205256.62424433843</v>
      </c>
      <c r="N28" s="376">
        <f t="shared" si="1"/>
        <v>376202.96832658432</v>
      </c>
      <c r="O28" s="377">
        <f t="shared" si="0"/>
        <v>228249.98208355476</v>
      </c>
      <c r="P28" s="378">
        <f t="shared" si="2"/>
        <v>111369.95896395919</v>
      </c>
    </row>
    <row r="29" spans="2:16">
      <c r="B29" s="269">
        <v>24</v>
      </c>
      <c r="C29" s="270">
        <v>2046</v>
      </c>
      <c r="D29" s="271">
        <f>D28+('Fixed Inputs &amp; Assumptions'!$C$33*'Traffic Inputs'!$E$95)</f>
        <v>93058.485802938143</v>
      </c>
      <c r="E29" s="287">
        <f>E28+('Fixed Inputs &amp; Assumptions'!$C$34*'Traffic Inputs'!$E$95)</f>
        <v>264858.76728528546</v>
      </c>
      <c r="F29" s="295">
        <f>(('I-44 Incident Reports'!$D$135-'I-44 Incident Reports'!$D$136)/60)*'Fixed Inputs &amp; Assumptions'!$C$34</f>
        <v>1.1158780666666661</v>
      </c>
      <c r="G29" s="296">
        <f>(('I-44 Incident Reports'!$D$135-'I-44 Incident Reports'!$D$136)/60)*'Fixed Inputs &amp; Assumptions'!$C$33</f>
        <v>0.39206526666666652</v>
      </c>
      <c r="H29" s="288">
        <f>(D29+F29)*'Fixed Inputs &amp; Assumptions'!$C$62*'Fixed Inputs &amp; Assumptions'!$C$79*'Fixed Inputs &amp; Assumptions'!$C$80*'Fixed Inputs &amp; Assumptions'!$H29</f>
        <v>5494.6064033902258</v>
      </c>
      <c r="I29" s="294" t="s">
        <v>96</v>
      </c>
      <c r="J29" s="290">
        <f>(D29+F29)*'Fixed Inputs &amp; Assumptions'!$C$76*'Fixed Inputs &amp; Assumptions'!$C$72*'Fixed Inputs &amp; Assumptions'!$C$79*'Fixed Inputs &amp; Assumptions'!$C$80*'Fixed Inputs &amp; Assumptions'!$K25</f>
        <v>24176.777722440707</v>
      </c>
      <c r="K29" s="297">
        <f>(E29+G29)*'Fixed Inputs &amp; Assumptions'!$C$67*'Fixed Inputs &amp; Assumptions'!$C$79*'Fixed Inputs &amp; Assumptions'!$C$80*'Fixed Inputs &amp; Assumptions'!$H29</f>
        <v>150212.50696666163</v>
      </c>
      <c r="L29" s="288">
        <f>(E29+G29)*'Fixed Inputs &amp; Assumptions'!$C$68*'Fixed Inputs &amp; Assumptions'!$C$79*'Fixed Inputs &amp; Assumptions'!$C$80*'Fixed Inputs &amp; Assumptions'!$J29</f>
        <v>234584.17923687951</v>
      </c>
      <c r="M29" s="292">
        <f>(E29+G29)*'Fixed Inputs &amp; Assumptions'!$C$77*'Fixed Inputs &amp; Assumptions'!$C$74*'Fixed Inputs &amp; Assumptions'!$C$79*'Fixed Inputs &amp; Assumptions'!$C$80*'Fixed Inputs &amp; Assumptions'!$K25</f>
        <v>215820.83697395228</v>
      </c>
      <c r="N29" s="301">
        <f t="shared" si="1"/>
        <v>390291.29260693141</v>
      </c>
      <c r="O29" s="293">
        <f t="shared" si="0"/>
        <v>239997.61469639299</v>
      </c>
      <c r="P29" s="302">
        <f t="shared" si="2"/>
        <v>108532.90913273706</v>
      </c>
    </row>
    <row r="30" spans="2:16">
      <c r="B30" s="356">
        <v>25</v>
      </c>
      <c r="C30" s="357">
        <v>2047</v>
      </c>
      <c r="D30" s="358">
        <f>D29+('Fixed Inputs &amp; Assumptions'!$C$33*'Traffic Inputs'!$E$95)</f>
        <v>96417.618544473138</v>
      </c>
      <c r="E30" s="371">
        <f>E29+('Fixed Inputs &amp; Assumptions'!$C$34*'Traffic Inputs'!$E$95)</f>
        <v>274419.37585734663</v>
      </c>
      <c r="F30" s="379">
        <f>(('I-44 Incident Reports'!$D$135-'I-44 Incident Reports'!$D$136)/60)*'Fixed Inputs &amp; Assumptions'!$C$34</f>
        <v>1.1158780666666661</v>
      </c>
      <c r="G30" s="380">
        <f>(('I-44 Incident Reports'!$D$135-'I-44 Incident Reports'!$D$136)/60)*'Fixed Inputs &amp; Assumptions'!$C$33</f>
        <v>0.39206526666666652</v>
      </c>
      <c r="H30" s="372">
        <f>(D30+F30)*'Fixed Inputs &amp; Assumptions'!$C$62*'Fixed Inputs &amp; Assumptions'!$C$79*'Fixed Inputs &amp; Assumptions'!$C$80*'Fixed Inputs &amp; Assumptions'!$H30</f>
        <v>5692.9428666682907</v>
      </c>
      <c r="I30" s="373" t="s">
        <v>96</v>
      </c>
      <c r="J30" s="374">
        <f>(D30+F30)*'Fixed Inputs &amp; Assumptions'!$C$76*'Fixed Inputs &amp; Assumptions'!$C$72*'Fixed Inputs &amp; Assumptions'!$C$79*'Fixed Inputs &amp; Assumptions'!$C$80*'Fixed Inputs &amp; Assumptions'!$K26</f>
        <v>25717.46259521801</v>
      </c>
      <c r="K30" s="381">
        <f>(E30+G30)*'Fixed Inputs &amp; Assumptions'!$C$67*'Fixed Inputs &amp; Assumptions'!$C$79*'Fixed Inputs &amp; Assumptions'!$C$80*'Fixed Inputs &amp; Assumptions'!$H30</f>
        <v>155634.72073966352</v>
      </c>
      <c r="L30" s="372">
        <f>(E30+G30)*'Fixed Inputs &amp; Assumptions'!$C$68*'Fixed Inputs &amp; Assumptions'!$C$79*'Fixed Inputs &amp; Assumptions'!$C$80*'Fixed Inputs &amp; Assumptions'!$J30</f>
        <v>243051.95328094662</v>
      </c>
      <c r="M30" s="375">
        <f>(E30+G30)*'Fixed Inputs &amp; Assumptions'!$C$77*'Fixed Inputs &amp; Assumptions'!$C$74*'Fixed Inputs &amp; Assumptions'!$C$79*'Fixed Inputs &amp; Assumptions'!$C$80*'Fixed Inputs &amp; Assumptions'!$K26</f>
        <v>229574.27984578485</v>
      </c>
      <c r="N30" s="376">
        <f t="shared" si="1"/>
        <v>404379.61688727839</v>
      </c>
      <c r="O30" s="377">
        <f t="shared" si="0"/>
        <v>255291.74244100286</v>
      </c>
      <c r="P30" s="378">
        <f t="shared" si="2"/>
        <v>106161.15415426114</v>
      </c>
    </row>
    <row r="31" spans="2:16">
      <c r="B31" s="269">
        <v>26</v>
      </c>
      <c r="C31" s="270">
        <v>2048</v>
      </c>
      <c r="D31" s="271">
        <f>D30+('Fixed Inputs &amp; Assumptions'!$C$33*'Traffic Inputs'!$E$95)</f>
        <v>99776.751286008133</v>
      </c>
      <c r="E31" s="287">
        <f>E30+('Fixed Inputs &amp; Assumptions'!$C$34*'Traffic Inputs'!$E$95)</f>
        <v>283979.98442940781</v>
      </c>
      <c r="F31" s="295">
        <f>(('I-44 Incident Reports'!$D$135-'I-44 Incident Reports'!$D$136)/60)*'Fixed Inputs &amp; Assumptions'!$C$34</f>
        <v>1.1158780666666661</v>
      </c>
      <c r="G31" s="296">
        <f>(('I-44 Incident Reports'!$D$135-'I-44 Incident Reports'!$D$136)/60)*'Fixed Inputs &amp; Assumptions'!$C$33</f>
        <v>0.39206526666666652</v>
      </c>
      <c r="H31" s="288">
        <f>(D31+F31)*'Fixed Inputs &amp; Assumptions'!$C$62*'Fixed Inputs &amp; Assumptions'!$C$79*'Fixed Inputs &amp; Assumptions'!$C$80*'Fixed Inputs &amp; Assumptions'!$H31</f>
        <v>5891.2793299463547</v>
      </c>
      <c r="I31" s="294" t="s">
        <v>96</v>
      </c>
      <c r="J31" s="290">
        <f>(D31+F31)*'Fixed Inputs &amp; Assumptions'!$C$76*'Fixed Inputs &amp; Assumptions'!$C$72*'Fixed Inputs &amp; Assumptions'!$C$79*'Fixed Inputs &amp; Assumptions'!$C$80*'Fixed Inputs &amp; Assumptions'!$K27</f>
        <v>26959.062400531915</v>
      </c>
      <c r="K31" s="297">
        <f>(E31+G31)*'Fixed Inputs &amp; Assumptions'!$C$67*'Fixed Inputs &amp; Assumptions'!$C$79*'Fixed Inputs &amp; Assumptions'!$C$80*'Fixed Inputs &amp; Assumptions'!$H31</f>
        <v>161056.93451266538</v>
      </c>
      <c r="L31" s="288">
        <f>(E31+G31)*'Fixed Inputs &amp; Assumptions'!$C$68*'Fixed Inputs &amp; Assumptions'!$C$79*'Fixed Inputs &amp; Assumptions'!$C$80*'Fixed Inputs &amp; Assumptions'!$J31</f>
        <v>251519.72732501381</v>
      </c>
      <c r="M31" s="292">
        <f>(E31+G31)*'Fixed Inputs &amp; Assumptions'!$C$77*'Fixed Inputs &amp; Assumptions'!$C$74*'Fixed Inputs &amp; Assumptions'!$C$79*'Fixed Inputs &amp; Assumptions'!$C$80*'Fixed Inputs &amp; Assumptions'!$K27</f>
        <v>240657.85754634204</v>
      </c>
      <c r="N31" s="301">
        <f t="shared" si="1"/>
        <v>418467.94116762554</v>
      </c>
      <c r="O31" s="293">
        <f t="shared" si="0"/>
        <v>267616.91994687397</v>
      </c>
      <c r="P31" s="302">
        <f t="shared" si="2"/>
        <v>103188.68102654887</v>
      </c>
    </row>
    <row r="32" spans="2:16">
      <c r="B32" s="356">
        <v>27</v>
      </c>
      <c r="C32" s="357">
        <v>2049</v>
      </c>
      <c r="D32" s="358">
        <f>D31+('Fixed Inputs &amp; Assumptions'!$C$33*'Traffic Inputs'!$E$95)</f>
        <v>103135.88402754313</v>
      </c>
      <c r="E32" s="371">
        <f>E31+('Fixed Inputs &amp; Assumptions'!$C$34*'Traffic Inputs'!$E$95)</f>
        <v>293540.59300146898</v>
      </c>
      <c r="F32" s="379">
        <f>(('I-44 Incident Reports'!$D$135-'I-44 Incident Reports'!$D$136)/60)*'Fixed Inputs &amp; Assumptions'!$C$34</f>
        <v>1.1158780666666661</v>
      </c>
      <c r="G32" s="380">
        <f>(('I-44 Incident Reports'!$D$135-'I-44 Incident Reports'!$D$136)/60)*'Fixed Inputs &amp; Assumptions'!$C$33</f>
        <v>0.39206526666666652</v>
      </c>
      <c r="H32" s="372">
        <f>(D32+F32)*'Fixed Inputs &amp; Assumptions'!$C$62*'Fixed Inputs &amp; Assumptions'!$C$79*'Fixed Inputs &amp; Assumptions'!$C$80*'Fixed Inputs &amp; Assumptions'!$H32</f>
        <v>6089.6157932244205</v>
      </c>
      <c r="I32" s="373" t="s">
        <v>96</v>
      </c>
      <c r="J32" s="374">
        <f>(D32+F32)*'Fixed Inputs &amp; Assumptions'!$C$76*'Fixed Inputs &amp; Assumptions'!$C$72*'Fixed Inputs &amp; Assumptions'!$C$79*'Fixed Inputs &amp; Assumptions'!$C$80*'Fixed Inputs &amp; Assumptions'!$K28</f>
        <v>28223.934174681643</v>
      </c>
      <c r="K32" s="381">
        <f>(E32+G32)*'Fixed Inputs &amp; Assumptions'!$C$67*'Fixed Inputs &amp; Assumptions'!$C$79*'Fixed Inputs &amp; Assumptions'!$C$80*'Fixed Inputs &amp; Assumptions'!$H32</f>
        <v>166479.14828566727</v>
      </c>
      <c r="L32" s="372">
        <f>(E32+G32)*'Fixed Inputs &amp; Assumptions'!$C$68*'Fixed Inputs &amp; Assumptions'!$C$79*'Fixed Inputs &amp; Assumptions'!$C$80*'Fixed Inputs &amp; Assumptions'!$J32</f>
        <v>259987.50136908088</v>
      </c>
      <c r="M32" s="375">
        <f>(E32+G32)*'Fixed Inputs &amp; Assumptions'!$C$77*'Fixed Inputs &amp; Assumptions'!$C$74*'Fixed Inputs &amp; Assumptions'!$C$79*'Fixed Inputs &amp; Assumptions'!$C$80*'Fixed Inputs &amp; Assumptions'!$K28</f>
        <v>251949.18123527657</v>
      </c>
      <c r="N32" s="376">
        <f t="shared" si="1"/>
        <v>432556.26544797258</v>
      </c>
      <c r="O32" s="377">
        <f t="shared" si="0"/>
        <v>280173.11540995823</v>
      </c>
      <c r="P32" s="378">
        <f t="shared" si="2"/>
        <v>100183.24835990979</v>
      </c>
    </row>
    <row r="33" spans="2:16">
      <c r="B33" s="269">
        <v>28</v>
      </c>
      <c r="C33" s="270">
        <v>2050</v>
      </c>
      <c r="D33" s="271">
        <f>D32+('Fixed Inputs &amp; Assumptions'!$C$33*'Traffic Inputs'!$E$95)</f>
        <v>106495.01676907812</v>
      </c>
      <c r="E33" s="287">
        <f>E32+('Fixed Inputs &amp; Assumptions'!$C$34*'Traffic Inputs'!$E$95)</f>
        <v>303101.20157353015</v>
      </c>
      <c r="F33" s="295">
        <f>(('I-44 Incident Reports'!$D$135-'I-44 Incident Reports'!$D$136)/60)*'Fixed Inputs &amp; Assumptions'!$C$34</f>
        <v>1.1158780666666661</v>
      </c>
      <c r="G33" s="296">
        <f>(('I-44 Incident Reports'!$D$135-'I-44 Incident Reports'!$D$136)/60)*'Fixed Inputs &amp; Assumptions'!$C$33</f>
        <v>0.39206526666666652</v>
      </c>
      <c r="H33" s="288">
        <f>(D33+F33)*'Fixed Inputs &amp; Assumptions'!$C$62*'Fixed Inputs &amp; Assumptions'!$C$79*'Fixed Inputs &amp; Assumptions'!$C$80*'Fixed Inputs &amp; Assumptions'!$H33</f>
        <v>6287.9522565024845</v>
      </c>
      <c r="I33" s="294" t="s">
        <v>96</v>
      </c>
      <c r="J33" s="290">
        <f>(D33+F33)*'Fixed Inputs &amp; Assumptions'!$C$76*'Fixed Inputs &amp; Assumptions'!$C$72*'Fixed Inputs &amp; Assumptions'!$C$79*'Fixed Inputs &amp; Assumptions'!$C$80*'Fixed Inputs &amp; Assumptions'!$K29</f>
        <v>29512.077917667179</v>
      </c>
      <c r="K33" s="297">
        <f>(E33+G33)*'Fixed Inputs &amp; Assumptions'!$C$67*'Fixed Inputs &amp; Assumptions'!$C$79*'Fixed Inputs &amp; Assumptions'!$C$80*'Fixed Inputs &amp; Assumptions'!$H33</f>
        <v>171901.36205866915</v>
      </c>
      <c r="L33" s="288">
        <f>(E33+G33)*'Fixed Inputs &amp; Assumptions'!$C$68*'Fixed Inputs &amp; Assumptions'!$C$79*'Fixed Inputs &amp; Assumptions'!$C$80*'Fixed Inputs &amp; Assumptions'!$J33</f>
        <v>268455.27541314805</v>
      </c>
      <c r="M33" s="292">
        <f>(E33+G33)*'Fixed Inputs &amp; Assumptions'!$C$77*'Fixed Inputs &amp; Assumptions'!$C$74*'Fixed Inputs &amp; Assumptions'!$C$79*'Fixed Inputs &amp; Assumptions'!$C$80*'Fixed Inputs &amp; Assumptions'!$K29</f>
        <v>263448.25091258844</v>
      </c>
      <c r="N33" s="301">
        <f t="shared" si="1"/>
        <v>446644.58972831967</v>
      </c>
      <c r="O33" s="293">
        <f t="shared" si="0"/>
        <v>292960.3288302556</v>
      </c>
      <c r="P33" s="302">
        <f t="shared" si="2"/>
        <v>97159.765984395199</v>
      </c>
    </row>
    <row r="34" spans="2:16">
      <c r="B34" s="356">
        <v>29</v>
      </c>
      <c r="C34" s="357">
        <v>2051</v>
      </c>
      <c r="D34" s="358">
        <f>D33+('Fixed Inputs &amp; Assumptions'!$C$33*'Traffic Inputs'!$E$95)</f>
        <v>109854.14951061312</v>
      </c>
      <c r="E34" s="371">
        <f>E33+('Fixed Inputs &amp; Assumptions'!$C$34*'Traffic Inputs'!$E$95)</f>
        <v>312661.81014559133</v>
      </c>
      <c r="F34" s="379">
        <f>(('I-44 Incident Reports'!$D$135-'I-44 Incident Reports'!$D$136)/60)*'Fixed Inputs &amp; Assumptions'!$C$34</f>
        <v>1.1158780666666661</v>
      </c>
      <c r="G34" s="380">
        <f>(('I-44 Incident Reports'!$D$135-'I-44 Incident Reports'!$D$136)/60)*'Fixed Inputs &amp; Assumptions'!$C$33</f>
        <v>0.39206526666666652</v>
      </c>
      <c r="H34" s="372">
        <f>(D34+F34)*'Fixed Inputs &amp; Assumptions'!$C$62*'Fixed Inputs &amp; Assumptions'!$C$79*'Fixed Inputs &amp; Assumptions'!$C$80*'Fixed Inputs &amp; Assumptions'!$H34</f>
        <v>6486.2887197805494</v>
      </c>
      <c r="I34" s="373" t="s">
        <v>96</v>
      </c>
      <c r="J34" s="374">
        <f>(D34+F34)*'Fixed Inputs &amp; Assumptions'!$C$76*'Fixed Inputs &amp; Assumptions'!$C$72*'Fixed Inputs &amp; Assumptions'!$C$79*'Fixed Inputs &amp; Assumptions'!$C$80*'Fixed Inputs &amp; Assumptions'!$K30</f>
        <v>30823.493629488534</v>
      </c>
      <c r="K34" s="381">
        <f>(E34+G34)*'Fixed Inputs &amp; Assumptions'!$C$67*'Fixed Inputs &amp; Assumptions'!$C$79*'Fixed Inputs &amp; Assumptions'!$C$80*'Fixed Inputs &amp; Assumptions'!$H34</f>
        <v>177323.57583167104</v>
      </c>
      <c r="L34" s="372">
        <f>(E34+G34)*'Fixed Inputs &amp; Assumptions'!$C$68*'Fixed Inputs &amp; Assumptions'!$C$79*'Fixed Inputs &amp; Assumptions'!$C$80*'Fixed Inputs &amp; Assumptions'!$J34</f>
        <v>276923.04945721512</v>
      </c>
      <c r="M34" s="375">
        <f>(E34+G34)*'Fixed Inputs &amp; Assumptions'!$C$77*'Fixed Inputs &amp; Assumptions'!$C$74*'Fixed Inputs &amp; Assumptions'!$C$79*'Fixed Inputs &amp; Assumptions'!$C$80*'Fixed Inputs &amp; Assumptions'!$K30</f>
        <v>275155.06657827762</v>
      </c>
      <c r="N34" s="376">
        <f t="shared" si="1"/>
        <v>460732.9140086667</v>
      </c>
      <c r="O34" s="377">
        <f t="shared" si="0"/>
        <v>305978.56020776613</v>
      </c>
      <c r="P34" s="378">
        <f t="shared" si="2"/>
        <v>94131.472950615309</v>
      </c>
    </row>
    <row r="35" spans="2:16" ht="15.75" thickBot="1">
      <c r="B35" s="269">
        <v>30</v>
      </c>
      <c r="C35" s="270">
        <v>2052</v>
      </c>
      <c r="D35" s="271">
        <f>D34+('Fixed Inputs &amp; Assumptions'!$C$33*'Traffic Inputs'!$E$95)</f>
        <v>113213.28225214811</v>
      </c>
      <c r="E35" s="298">
        <f>E34+('Fixed Inputs &amp; Assumptions'!$C$34*'Traffic Inputs'!$E$95)</f>
        <v>322222.4187176525</v>
      </c>
      <c r="F35" s="295">
        <f>(('I-44 Incident Reports'!$D$135-'I-44 Incident Reports'!$D$136)/60)*'Fixed Inputs &amp; Assumptions'!$C$34</f>
        <v>1.1158780666666661</v>
      </c>
      <c r="G35" s="296">
        <f>(('I-44 Incident Reports'!$D$135-'I-44 Incident Reports'!$D$136)/60)*'Fixed Inputs &amp; Assumptions'!$C$33</f>
        <v>0.39206526666666652</v>
      </c>
      <c r="H35" s="288">
        <f>(D35+F35)*'Fixed Inputs &amp; Assumptions'!$C$62*'Fixed Inputs &amp; Assumptions'!$C$79*'Fixed Inputs &amp; Assumptions'!$C$80*'Fixed Inputs &amp; Assumptions'!$H35</f>
        <v>6684.6251830586134</v>
      </c>
      <c r="I35" s="299" t="s">
        <v>96</v>
      </c>
      <c r="J35" s="300">
        <f>(D35+F35)*'Fixed Inputs &amp; Assumptions'!$C$76*'Fixed Inputs &amp; Assumptions'!$C$72*'Fixed Inputs &amp; Assumptions'!$C$79*'Fixed Inputs &amp; Assumptions'!$C$80*'Fixed Inputs &amp; Assumptions'!$K31</f>
        <v>32158.181310145708</v>
      </c>
      <c r="K35" s="297">
        <f>(E35+G35)*'Fixed Inputs &amp; Assumptions'!$C$67*'Fixed Inputs &amp; Assumptions'!$C$79*'Fixed Inputs &amp; Assumptions'!$C$80*'Fixed Inputs &amp; Assumptions'!$H35</f>
        <v>182745.78960467293</v>
      </c>
      <c r="L35" s="303">
        <f>(E35+G35)*'Fixed Inputs &amp; Assumptions'!$C$68*'Fixed Inputs &amp; Assumptions'!$C$79*'Fixed Inputs &amp; Assumptions'!$C$80*'Fixed Inputs &amp; Assumptions'!$J35</f>
        <v>285390.82350128231</v>
      </c>
      <c r="M35" s="292">
        <f>(E35+G35)*'Fixed Inputs &amp; Assumptions'!$C$77*'Fixed Inputs &amp; Assumptions'!$C$74*'Fixed Inputs &amp; Assumptions'!$C$79*'Fixed Inputs &amp; Assumptions'!$C$80*'Fixed Inputs &amp; Assumptions'!$K31</f>
        <v>287069.62823234411</v>
      </c>
      <c r="N35" s="301">
        <f t="shared" si="1"/>
        <v>474821.23828901385</v>
      </c>
      <c r="O35" s="293">
        <f t="shared" si="0"/>
        <v>319227.80954248982</v>
      </c>
      <c r="P35" s="302">
        <f t="shared" si="2"/>
        <v>91110.083232571953</v>
      </c>
    </row>
    <row r="36" spans="2:16" ht="20.100000000000001" customHeight="1" thickBot="1">
      <c r="B36" s="531" t="s">
        <v>97</v>
      </c>
      <c r="C36" s="532"/>
      <c r="D36" s="532"/>
      <c r="E36" s="532"/>
      <c r="F36" s="532"/>
      <c r="G36" s="532"/>
      <c r="H36" s="532"/>
      <c r="I36" s="532"/>
      <c r="J36" s="532"/>
      <c r="K36" s="532"/>
      <c r="L36" s="532"/>
      <c r="M36" s="532"/>
      <c r="N36" s="532"/>
      <c r="O36" s="533"/>
      <c r="P36" s="277">
        <f>SUM(P5:P35)</f>
        <v>3096600.0433877772</v>
      </c>
    </row>
    <row r="37" spans="2:16">
      <c r="B37" t="s">
        <v>74</v>
      </c>
    </row>
    <row r="38" spans="2:16">
      <c r="B38" t="s">
        <v>98</v>
      </c>
    </row>
    <row r="39" spans="2:16">
      <c r="B39" t="s">
        <v>99</v>
      </c>
    </row>
    <row r="40" spans="2:16">
      <c r="B40" t="s">
        <v>100</v>
      </c>
    </row>
    <row r="47" spans="2:16" ht="34.5" customHeight="1"/>
    <row r="52" ht="42" customHeight="1"/>
  </sheetData>
  <mergeCells count="13">
    <mergeCell ref="P3:P4"/>
    <mergeCell ref="B36:O36"/>
    <mergeCell ref="B2:P2"/>
    <mergeCell ref="H3:J3"/>
    <mergeCell ref="K3:M3"/>
    <mergeCell ref="B3:B4"/>
    <mergeCell ref="C3:C4"/>
    <mergeCell ref="D3:D4"/>
    <mergeCell ref="E3:E4"/>
    <mergeCell ref="O3:O4"/>
    <mergeCell ref="N3:N4"/>
    <mergeCell ref="F3:F4"/>
    <mergeCell ref="G3:G4"/>
  </mergeCells>
  <pageMargins left="0.7" right="0.7" top="0.75" bottom="0.75" header="0.3" footer="0.3"/>
  <pageSetup scale="5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AB343-AA4D-4BED-962F-D7FCC329AAF4}">
  <sheetPr>
    <tabColor rgb="FF0096D6"/>
    <pageSetUpPr fitToPage="1"/>
  </sheetPr>
  <dimension ref="B1:Q54"/>
  <sheetViews>
    <sheetView zoomScale="85" zoomScaleNormal="85" workbookViewId="0">
      <selection activeCell="B2" sqref="B2:Q35"/>
    </sheetView>
  </sheetViews>
  <sheetFormatPr defaultRowHeight="15"/>
  <cols>
    <col min="2" max="2" width="8.7109375" customWidth="1"/>
    <col min="3" max="3" width="17.85546875" customWidth="1"/>
    <col min="4" max="14" width="12.7109375" customWidth="1"/>
    <col min="15" max="15" width="15.5703125" customWidth="1"/>
    <col min="16" max="16" width="16.28515625" customWidth="1"/>
    <col min="17" max="17" width="21.140625" customWidth="1"/>
    <col min="18" max="18" width="22.85546875" customWidth="1"/>
    <col min="19" max="20" width="11.5703125" bestFit="1" customWidth="1"/>
    <col min="21" max="21" width="12.5703125" bestFit="1" customWidth="1"/>
  </cols>
  <sheetData>
    <row r="1" spans="2:17" ht="15.75" thickBot="1"/>
    <row r="2" spans="2:17" ht="24.95" customHeight="1">
      <c r="B2" s="534" t="s">
        <v>101</v>
      </c>
      <c r="C2" s="535"/>
      <c r="D2" s="535"/>
      <c r="E2" s="535"/>
      <c r="F2" s="535"/>
      <c r="G2" s="535"/>
      <c r="H2" s="535"/>
      <c r="I2" s="535"/>
      <c r="J2" s="535"/>
      <c r="K2" s="535"/>
      <c r="L2" s="535"/>
      <c r="M2" s="535"/>
      <c r="N2" s="535"/>
      <c r="O2" s="535"/>
      <c r="P2" s="535"/>
      <c r="Q2" s="536"/>
    </row>
    <row r="3" spans="2:17" ht="38.25">
      <c r="B3" s="278" t="s">
        <v>52</v>
      </c>
      <c r="C3" s="279" t="s">
        <v>68</v>
      </c>
      <c r="D3" s="279" t="s">
        <v>102</v>
      </c>
      <c r="E3" s="367" t="s">
        <v>103</v>
      </c>
      <c r="F3" s="367" t="s">
        <v>104</v>
      </c>
      <c r="G3" s="279" t="s">
        <v>105</v>
      </c>
      <c r="H3" s="279" t="s">
        <v>106</v>
      </c>
      <c r="I3" s="279" t="s">
        <v>107</v>
      </c>
      <c r="J3" s="367" t="s">
        <v>108</v>
      </c>
      <c r="K3" s="279" t="s">
        <v>109</v>
      </c>
      <c r="L3" s="279" t="s">
        <v>110</v>
      </c>
      <c r="M3" s="279" t="s">
        <v>111</v>
      </c>
      <c r="N3" s="279" t="s">
        <v>112</v>
      </c>
      <c r="O3" s="279" t="s">
        <v>113</v>
      </c>
      <c r="P3" s="382" t="s">
        <v>71</v>
      </c>
      <c r="Q3" s="383" t="s">
        <v>72</v>
      </c>
    </row>
    <row r="4" spans="2:17">
      <c r="B4" s="269">
        <v>0</v>
      </c>
      <c r="C4" s="270">
        <v>2022</v>
      </c>
      <c r="D4" s="288">
        <v>0</v>
      </c>
      <c r="E4" s="288">
        <v>0</v>
      </c>
      <c r="F4" s="288">
        <v>0</v>
      </c>
      <c r="G4" s="288">
        <v>0</v>
      </c>
      <c r="H4" s="288">
        <v>0</v>
      </c>
      <c r="I4" s="288">
        <v>0</v>
      </c>
      <c r="J4" s="288">
        <v>0</v>
      </c>
      <c r="K4" s="288">
        <v>0</v>
      </c>
      <c r="L4" s="288">
        <v>0</v>
      </c>
      <c r="M4" s="288">
        <v>0</v>
      </c>
      <c r="N4" s="288">
        <v>0</v>
      </c>
      <c r="O4" s="288">
        <v>0</v>
      </c>
      <c r="P4" s="307">
        <f t="shared" ref="P4:P34" si="0">(SUM(D4:M4)+O4)</f>
        <v>0</v>
      </c>
      <c r="Q4" s="308">
        <f>P4/(1.07^(C4-2020))</f>
        <v>0</v>
      </c>
    </row>
    <row r="5" spans="2:17">
      <c r="B5" s="356">
        <v>1</v>
      </c>
      <c r="C5" s="357">
        <v>2023</v>
      </c>
      <c r="D5" s="372">
        <v>0</v>
      </c>
      <c r="E5" s="372">
        <v>0</v>
      </c>
      <c r="F5" s="372">
        <v>0</v>
      </c>
      <c r="G5" s="372">
        <v>0</v>
      </c>
      <c r="H5" s="372">
        <v>0</v>
      </c>
      <c r="I5" s="372">
        <v>0</v>
      </c>
      <c r="J5" s="372">
        <v>0</v>
      </c>
      <c r="K5" s="372">
        <v>0</v>
      </c>
      <c r="L5" s="372">
        <v>0</v>
      </c>
      <c r="M5" s="372">
        <v>0</v>
      </c>
      <c r="N5" s="372">
        <v>0</v>
      </c>
      <c r="O5" s="372">
        <v>0</v>
      </c>
      <c r="P5" s="384">
        <f t="shared" si="0"/>
        <v>0</v>
      </c>
      <c r="Q5" s="378">
        <f>P5/(1.07^(C5-2020))</f>
        <v>0</v>
      </c>
    </row>
    <row r="6" spans="2:17">
      <c r="B6" s="269">
        <v>2</v>
      </c>
      <c r="C6" s="270">
        <v>2024</v>
      </c>
      <c r="D6" s="288">
        <v>0</v>
      </c>
      <c r="E6" s="288">
        <v>0</v>
      </c>
      <c r="F6" s="288">
        <v>0</v>
      </c>
      <c r="G6" s="288">
        <v>0</v>
      </c>
      <c r="H6" s="288">
        <v>0</v>
      </c>
      <c r="I6" s="288">
        <v>0</v>
      </c>
      <c r="J6" s="288">
        <v>0</v>
      </c>
      <c r="K6" s="288">
        <v>0</v>
      </c>
      <c r="L6" s="288">
        <v>0</v>
      </c>
      <c r="M6" s="288">
        <v>0</v>
      </c>
      <c r="N6" s="288">
        <v>0</v>
      </c>
      <c r="O6" s="288">
        <v>0</v>
      </c>
      <c r="P6" s="307">
        <f t="shared" si="0"/>
        <v>0</v>
      </c>
      <c r="Q6" s="302">
        <f>P6/(1.07^(C6-2020))</f>
        <v>0</v>
      </c>
    </row>
    <row r="7" spans="2:17">
      <c r="B7" s="356">
        <v>3</v>
      </c>
      <c r="C7" s="357" t="s">
        <v>62</v>
      </c>
      <c r="D7" s="372">
        <v>0</v>
      </c>
      <c r="E7" s="385">
        <v>0</v>
      </c>
      <c r="F7" s="386">
        <v>0</v>
      </c>
      <c r="G7" s="386">
        <v>0</v>
      </c>
      <c r="H7" s="386">
        <v>0</v>
      </c>
      <c r="I7" s="386">
        <v>0</v>
      </c>
      <c r="J7" s="470">
        <v>0</v>
      </c>
      <c r="K7" s="386">
        <v>0</v>
      </c>
      <c r="L7" s="386">
        <v>0</v>
      </c>
      <c r="M7" s="386">
        <v>0</v>
      </c>
      <c r="N7" s="386">
        <v>0</v>
      </c>
      <c r="O7" s="372">
        <v>0</v>
      </c>
      <c r="P7" s="384">
        <f t="shared" si="0"/>
        <v>0</v>
      </c>
      <c r="Q7" s="378">
        <f>P7/(1.07^(2025-2020))</f>
        <v>0</v>
      </c>
    </row>
    <row r="8" spans="2:17">
      <c r="B8" s="269">
        <v>4</v>
      </c>
      <c r="C8" s="270" t="s">
        <v>63</v>
      </c>
      <c r="D8" s="472">
        <v>0</v>
      </c>
      <c r="E8" s="473">
        <v>0</v>
      </c>
      <c r="F8" s="471">
        <v>0</v>
      </c>
      <c r="G8" s="471">
        <v>0</v>
      </c>
      <c r="H8" s="471">
        <v>0</v>
      </c>
      <c r="I8" s="471">
        <v>0</v>
      </c>
      <c r="J8" s="471">
        <v>0</v>
      </c>
      <c r="K8" s="471">
        <v>0</v>
      </c>
      <c r="L8" s="471">
        <v>0</v>
      </c>
      <c r="M8" s="471">
        <v>0</v>
      </c>
      <c r="N8" s="471">
        <v>0</v>
      </c>
      <c r="O8" s="472">
        <v>0</v>
      </c>
      <c r="P8" s="307">
        <f t="shared" si="0"/>
        <v>0</v>
      </c>
      <c r="Q8" s="302">
        <f>P8/(1.07^(2026-2020))</f>
        <v>0</v>
      </c>
    </row>
    <row r="9" spans="2:17">
      <c r="B9" s="356">
        <v>5</v>
      </c>
      <c r="C9" s="357" t="s">
        <v>64</v>
      </c>
      <c r="D9" s="474">
        <v>0</v>
      </c>
      <c r="E9" s="475">
        <v>0</v>
      </c>
      <c r="F9" s="470">
        <v>0</v>
      </c>
      <c r="G9" s="470">
        <v>0</v>
      </c>
      <c r="H9" s="470">
        <v>0</v>
      </c>
      <c r="I9" s="470">
        <v>0</v>
      </c>
      <c r="J9" s="470">
        <v>0</v>
      </c>
      <c r="K9" s="470">
        <v>0</v>
      </c>
      <c r="L9" s="470">
        <v>0</v>
      </c>
      <c r="M9" s="470">
        <v>0</v>
      </c>
      <c r="N9" s="470">
        <v>0</v>
      </c>
      <c r="O9" s="474">
        <v>0</v>
      </c>
      <c r="P9" s="384">
        <f t="shared" si="0"/>
        <v>0</v>
      </c>
      <c r="Q9" s="378">
        <f>P9/(1.07^(2027-2020))</f>
        <v>0</v>
      </c>
    </row>
    <row r="10" spans="2:17">
      <c r="B10" s="269">
        <v>6</v>
      </c>
      <c r="C10" s="270">
        <v>2028</v>
      </c>
      <c r="D10" s="288">
        <f>($F$44*'Fixed Inputs &amp; Assumptions'!$C$7)-($F$45*'Fixed Inputs &amp; Assumptions'!$C$7)</f>
        <v>3232.4700000000003</v>
      </c>
      <c r="E10" s="304">
        <f>'Fixed Inputs &amp; Assumptions'!$C$9*'Fixed Inputs &amp; Assumptions'!$C$25</f>
        <v>5666.75</v>
      </c>
      <c r="F10" s="306">
        <f>-'Fixed Inputs &amp; Assumptions'!$C$8</f>
        <v>-500</v>
      </c>
      <c r="G10" s="306">
        <f>('Fixed Inputs &amp; Assumptions'!$C$18*($F$46-$F$47))*2</f>
        <v>-1806.52</v>
      </c>
      <c r="H10" s="306">
        <f>'Fixed Inputs &amp; Assumptions'!$C$22*($F$48-$F$49)</f>
        <v>-4712</v>
      </c>
      <c r="I10" s="305">
        <f>'Fixed Inputs &amp; Assumptions'!$C$19*'Fixed Inputs &amp; Assumptions'!$C$25</f>
        <v>2042.5</v>
      </c>
      <c r="J10" s="306">
        <f>('Fixed Inputs &amp; Assumptions'!$C$13*($F$46-$F$47))-'Fixed Inputs &amp; Assumptions'!$C$14</f>
        <v>-10000</v>
      </c>
      <c r="K10" s="305">
        <f>'Fixed Inputs &amp; Assumptions'!$C$20</f>
        <v>5000</v>
      </c>
      <c r="L10" s="305">
        <f>'Fixed Inputs &amp; Assumptions'!$C$21</f>
        <v>35000</v>
      </c>
      <c r="M10" s="305">
        <f>'Fixed Inputs &amp; Assumptions'!$C$15*($F$52-$F$53)</f>
        <v>10000</v>
      </c>
      <c r="N10" s="306">
        <f>($F$50-$F$51)*'Fixed Inputs &amp; Assumptions'!$C$17*2</f>
        <v>-4830.4000000000005</v>
      </c>
      <c r="O10" s="288">
        <v>0</v>
      </c>
      <c r="P10" s="307">
        <f t="shared" si="0"/>
        <v>43923.199999999997</v>
      </c>
      <c r="Q10" s="302">
        <f t="shared" ref="Q10:Q34" si="1">P10/(1.07^(C10-2020))</f>
        <v>25563.702301631096</v>
      </c>
    </row>
    <row r="11" spans="2:17">
      <c r="B11" s="356">
        <v>7</v>
      </c>
      <c r="C11" s="357">
        <v>2029</v>
      </c>
      <c r="D11" s="372">
        <f>($F$44*'Fixed Inputs &amp; Assumptions'!$C$7)-($F$45*'Fixed Inputs &amp; Assumptions'!$C$7)</f>
        <v>3232.4700000000003</v>
      </c>
      <c r="E11" s="385">
        <f>'Fixed Inputs &amp; Assumptions'!$C$9*'Fixed Inputs &amp; Assumptions'!$C$25</f>
        <v>5666.75</v>
      </c>
      <c r="F11" s="387">
        <f>-'Fixed Inputs &amp; Assumptions'!$C$8</f>
        <v>-500</v>
      </c>
      <c r="G11" s="387">
        <f>('Fixed Inputs &amp; Assumptions'!$C$18*($F$46-$F$47))*2</f>
        <v>-1806.52</v>
      </c>
      <c r="H11" s="387">
        <f>'Fixed Inputs &amp; Assumptions'!$C$22*($F$48-$F$49)</f>
        <v>-4712</v>
      </c>
      <c r="I11" s="386">
        <f>'Fixed Inputs &amp; Assumptions'!$C$19*'Fixed Inputs &amp; Assumptions'!$C$25</f>
        <v>2042.5</v>
      </c>
      <c r="J11" s="387">
        <f>('Fixed Inputs &amp; Assumptions'!$C$13*($F$46-$F$47))-'Fixed Inputs &amp; Assumptions'!$C$14</f>
        <v>-10000</v>
      </c>
      <c r="K11" s="386">
        <f>'Fixed Inputs &amp; Assumptions'!$C$20</f>
        <v>5000</v>
      </c>
      <c r="L11" s="386">
        <f>'Fixed Inputs &amp; Assumptions'!$C$21</f>
        <v>35000</v>
      </c>
      <c r="M11" s="386">
        <f>'Fixed Inputs &amp; Assumptions'!$C$15*($F$52-$F$53)</f>
        <v>10000</v>
      </c>
      <c r="N11" s="387">
        <f>($F$50-$F$51)*'Fixed Inputs &amp; Assumptions'!$C$17*2</f>
        <v>-4830.4000000000005</v>
      </c>
      <c r="O11" s="372">
        <v>0</v>
      </c>
      <c r="P11" s="384">
        <f t="shared" si="0"/>
        <v>43923.199999999997</v>
      </c>
      <c r="Q11" s="378">
        <f t="shared" si="1"/>
        <v>23891.310562272047</v>
      </c>
    </row>
    <row r="12" spans="2:17">
      <c r="B12" s="269">
        <v>8</v>
      </c>
      <c r="C12" s="270">
        <v>2030</v>
      </c>
      <c r="D12" s="288">
        <f>($F$44*'Fixed Inputs &amp; Assumptions'!$C$7)-($F$45*'Fixed Inputs &amp; Assumptions'!$C$7)</f>
        <v>3232.4700000000003</v>
      </c>
      <c r="E12" s="304">
        <f>'Fixed Inputs &amp; Assumptions'!$C$9*'Fixed Inputs &amp; Assumptions'!$C$25</f>
        <v>5666.75</v>
      </c>
      <c r="F12" s="306">
        <f>-'Fixed Inputs &amp; Assumptions'!$C$8</f>
        <v>-500</v>
      </c>
      <c r="G12" s="306">
        <f>('Fixed Inputs &amp; Assumptions'!$C$18*($F$46-$F$47))*2</f>
        <v>-1806.52</v>
      </c>
      <c r="H12" s="306">
        <f>'Fixed Inputs &amp; Assumptions'!$C$22*($F$48-$F$49)</f>
        <v>-4712</v>
      </c>
      <c r="I12" s="305">
        <f>'Fixed Inputs &amp; Assumptions'!$C$19*'Fixed Inputs &amp; Assumptions'!$C$25</f>
        <v>2042.5</v>
      </c>
      <c r="J12" s="306">
        <f>('Fixed Inputs &amp; Assumptions'!$C$13*($F$46-$F$47))-'Fixed Inputs &amp; Assumptions'!$C$14</f>
        <v>-10000</v>
      </c>
      <c r="K12" s="305">
        <f>'Fixed Inputs &amp; Assumptions'!$C$20</f>
        <v>5000</v>
      </c>
      <c r="L12" s="305">
        <f>'Fixed Inputs &amp; Assumptions'!$C$21</f>
        <v>35000</v>
      </c>
      <c r="M12" s="305">
        <f>'Fixed Inputs &amp; Assumptions'!$C$15*($F$52-$F$53)</f>
        <v>10000</v>
      </c>
      <c r="N12" s="306">
        <f>($F$50-$F$51)*'Fixed Inputs &amp; Assumptions'!$C$17*2</f>
        <v>-4830.4000000000005</v>
      </c>
      <c r="O12" s="288">
        <v>0</v>
      </c>
      <c r="P12" s="307">
        <f t="shared" si="0"/>
        <v>43923.199999999997</v>
      </c>
      <c r="Q12" s="302">
        <f t="shared" si="1"/>
        <v>22328.327628291634</v>
      </c>
    </row>
    <row r="13" spans="2:17">
      <c r="B13" s="356">
        <v>9</v>
      </c>
      <c r="C13" s="357">
        <v>2031</v>
      </c>
      <c r="D13" s="372">
        <f>($F$44*'Fixed Inputs &amp; Assumptions'!$C$7)-($F$45*'Fixed Inputs &amp; Assumptions'!$C$7)</f>
        <v>3232.4700000000003</v>
      </c>
      <c r="E13" s="385">
        <f>'Fixed Inputs &amp; Assumptions'!$C$9*'Fixed Inputs &amp; Assumptions'!$C$25</f>
        <v>5666.75</v>
      </c>
      <c r="F13" s="387">
        <f>-'Fixed Inputs &amp; Assumptions'!$C$8</f>
        <v>-500</v>
      </c>
      <c r="G13" s="387">
        <f>('Fixed Inputs &amp; Assumptions'!$C$18*($F$46-$F$47))*2</f>
        <v>-1806.52</v>
      </c>
      <c r="H13" s="387">
        <f>'Fixed Inputs &amp; Assumptions'!$C$22*($F$48-$F$49)</f>
        <v>-4712</v>
      </c>
      <c r="I13" s="386">
        <f>'Fixed Inputs &amp; Assumptions'!$C$19*'Fixed Inputs &amp; Assumptions'!$C$25</f>
        <v>2042.5</v>
      </c>
      <c r="J13" s="387">
        <f>('Fixed Inputs &amp; Assumptions'!$C$13*($F$46-$F$47))-'Fixed Inputs &amp; Assumptions'!$C$14</f>
        <v>-10000</v>
      </c>
      <c r="K13" s="386">
        <f>'Fixed Inputs &amp; Assumptions'!$C$20</f>
        <v>5000</v>
      </c>
      <c r="L13" s="386">
        <f>'Fixed Inputs &amp; Assumptions'!$C$21</f>
        <v>35000</v>
      </c>
      <c r="M13" s="386">
        <f>'Fixed Inputs &amp; Assumptions'!$C$15*($F$52-$F$53)</f>
        <v>10000</v>
      </c>
      <c r="N13" s="387">
        <f>($F$50-$F$51)*'Fixed Inputs &amp; Assumptions'!$C$17*2</f>
        <v>-4830.4000000000005</v>
      </c>
      <c r="O13" s="372">
        <v>0</v>
      </c>
      <c r="P13" s="384">
        <f t="shared" si="0"/>
        <v>43923.199999999997</v>
      </c>
      <c r="Q13" s="378">
        <f t="shared" si="1"/>
        <v>20867.595914291243</v>
      </c>
    </row>
    <row r="14" spans="2:17">
      <c r="B14" s="269">
        <v>10</v>
      </c>
      <c r="C14" s="270">
        <v>2032</v>
      </c>
      <c r="D14" s="288">
        <f>($F$44*'Fixed Inputs &amp; Assumptions'!$C$7)-($F$45*'Fixed Inputs &amp; Assumptions'!$C$7)</f>
        <v>3232.4700000000003</v>
      </c>
      <c r="E14" s="304">
        <f>'Fixed Inputs &amp; Assumptions'!$C$9*'Fixed Inputs &amp; Assumptions'!$C$25</f>
        <v>5666.75</v>
      </c>
      <c r="F14" s="306">
        <f>-'Fixed Inputs &amp; Assumptions'!$C$8</f>
        <v>-500</v>
      </c>
      <c r="G14" s="306">
        <f>('Fixed Inputs &amp; Assumptions'!$C$18*($F$46-$F$47))*2</f>
        <v>-1806.52</v>
      </c>
      <c r="H14" s="306">
        <f>'Fixed Inputs &amp; Assumptions'!$C$22*($F$48-$F$49)</f>
        <v>-4712</v>
      </c>
      <c r="I14" s="305">
        <f>'Fixed Inputs &amp; Assumptions'!$C$19*'Fixed Inputs &amp; Assumptions'!$C$25</f>
        <v>2042.5</v>
      </c>
      <c r="J14" s="306">
        <f>('Fixed Inputs &amp; Assumptions'!$C$13*($F$46-$F$47))-'Fixed Inputs &amp; Assumptions'!$C$14</f>
        <v>-10000</v>
      </c>
      <c r="K14" s="305">
        <f>'Fixed Inputs &amp; Assumptions'!$C$20</f>
        <v>5000</v>
      </c>
      <c r="L14" s="305">
        <f>'Fixed Inputs &amp; Assumptions'!$C$21</f>
        <v>35000</v>
      </c>
      <c r="M14" s="305">
        <f>'Fixed Inputs &amp; Assumptions'!$C$15*($F$52-$F$53)</f>
        <v>10000</v>
      </c>
      <c r="N14" s="306">
        <f>($F$50-$F$51)*'Fixed Inputs &amp; Assumptions'!$C$17*2</f>
        <v>-4830.4000000000005</v>
      </c>
      <c r="O14" s="288">
        <v>0</v>
      </c>
      <c r="P14" s="307">
        <f t="shared" si="0"/>
        <v>43923.199999999997</v>
      </c>
      <c r="Q14" s="302">
        <f t="shared" si="1"/>
        <v>19502.426088122662</v>
      </c>
    </row>
    <row r="15" spans="2:17">
      <c r="B15" s="356">
        <v>11</v>
      </c>
      <c r="C15" s="357">
        <v>2033</v>
      </c>
      <c r="D15" s="372">
        <f>($F$44*'Fixed Inputs &amp; Assumptions'!$C$7)-($F$45*'Fixed Inputs &amp; Assumptions'!$C$7)</f>
        <v>3232.4700000000003</v>
      </c>
      <c r="E15" s="385">
        <f>'Fixed Inputs &amp; Assumptions'!$C$9*'Fixed Inputs &amp; Assumptions'!$C$25</f>
        <v>5666.75</v>
      </c>
      <c r="F15" s="387">
        <f>-'Fixed Inputs &amp; Assumptions'!$C$8</f>
        <v>-500</v>
      </c>
      <c r="G15" s="387">
        <f>('Fixed Inputs &amp; Assumptions'!$C$18*($F$46-$F$47))*2</f>
        <v>-1806.52</v>
      </c>
      <c r="H15" s="387">
        <f>'Fixed Inputs &amp; Assumptions'!$C$22*($F$48-$F$49)</f>
        <v>-4712</v>
      </c>
      <c r="I15" s="386">
        <f>'Fixed Inputs &amp; Assumptions'!$C$19*'Fixed Inputs &amp; Assumptions'!$C$25</f>
        <v>2042.5</v>
      </c>
      <c r="J15" s="387">
        <f>('Fixed Inputs &amp; Assumptions'!$C$13*($F$46-$F$47))-'Fixed Inputs &amp; Assumptions'!$C$14</f>
        <v>-10000</v>
      </c>
      <c r="K15" s="386">
        <f>'Fixed Inputs &amp; Assumptions'!$C$20</f>
        <v>5000</v>
      </c>
      <c r="L15" s="386">
        <f>'Fixed Inputs &amp; Assumptions'!$C$21</f>
        <v>35000</v>
      </c>
      <c r="M15" s="386">
        <f>'Fixed Inputs &amp; Assumptions'!$C$15*($F$52-$F$53)</f>
        <v>10000</v>
      </c>
      <c r="N15" s="387">
        <f>($F$50-$F$51)*'Fixed Inputs &amp; Assumptions'!$C$17*2</f>
        <v>-4830.4000000000005</v>
      </c>
      <c r="O15" s="372">
        <v>0</v>
      </c>
      <c r="P15" s="384">
        <f t="shared" si="0"/>
        <v>43923.199999999997</v>
      </c>
      <c r="Q15" s="378">
        <f t="shared" si="1"/>
        <v>18226.566437497815</v>
      </c>
    </row>
    <row r="16" spans="2:17">
      <c r="B16" s="269">
        <v>12</v>
      </c>
      <c r="C16" s="270">
        <v>2034</v>
      </c>
      <c r="D16" s="288">
        <f>($F$44*'Fixed Inputs &amp; Assumptions'!$C$7)-($F$45*'Fixed Inputs &amp; Assumptions'!$C$7)</f>
        <v>3232.4700000000003</v>
      </c>
      <c r="E16" s="304">
        <f>'Fixed Inputs &amp; Assumptions'!$C$9*'Fixed Inputs &amp; Assumptions'!$C$25</f>
        <v>5666.75</v>
      </c>
      <c r="F16" s="306">
        <f>-'Fixed Inputs &amp; Assumptions'!$C$8</f>
        <v>-500</v>
      </c>
      <c r="G16" s="306">
        <f>('Fixed Inputs &amp; Assumptions'!$C$18*($F$46-$F$47))*2</f>
        <v>-1806.52</v>
      </c>
      <c r="H16" s="306">
        <f>'Fixed Inputs &amp; Assumptions'!$C$22*($F$48-$F$49)</f>
        <v>-4712</v>
      </c>
      <c r="I16" s="305">
        <f>'Fixed Inputs &amp; Assumptions'!$C$19*'Fixed Inputs &amp; Assumptions'!$C$25</f>
        <v>2042.5</v>
      </c>
      <c r="J16" s="306">
        <f>('Fixed Inputs &amp; Assumptions'!$C$13*($F$46-$F$47))-'Fixed Inputs &amp; Assumptions'!$C$14</f>
        <v>-10000</v>
      </c>
      <c r="K16" s="305">
        <f>'Fixed Inputs &amp; Assumptions'!$C$20</f>
        <v>5000</v>
      </c>
      <c r="L16" s="305">
        <f>'Fixed Inputs &amp; Assumptions'!$C$21</f>
        <v>35000</v>
      </c>
      <c r="M16" s="305">
        <f>'Fixed Inputs &amp; Assumptions'!$C$15*($F$52-$F$53)</f>
        <v>10000</v>
      </c>
      <c r="N16" s="306">
        <f>($F$50-$F$51)*'Fixed Inputs &amp; Assumptions'!$C$17*2</f>
        <v>-4830.4000000000005</v>
      </c>
      <c r="O16" s="288">
        <v>0</v>
      </c>
      <c r="P16" s="307">
        <f t="shared" si="0"/>
        <v>43923.199999999997</v>
      </c>
      <c r="Q16" s="302">
        <f t="shared" si="1"/>
        <v>17034.174240652163</v>
      </c>
    </row>
    <row r="17" spans="2:17">
      <c r="B17" s="356">
        <v>13</v>
      </c>
      <c r="C17" s="357">
        <v>2035</v>
      </c>
      <c r="D17" s="372">
        <f>($F$44*'Fixed Inputs &amp; Assumptions'!$C$7)-($F$45*'Fixed Inputs &amp; Assumptions'!$C$7)</f>
        <v>3232.4700000000003</v>
      </c>
      <c r="E17" s="385">
        <f>'Fixed Inputs &amp; Assumptions'!$C$9*'Fixed Inputs &amp; Assumptions'!$C$25</f>
        <v>5666.75</v>
      </c>
      <c r="F17" s="387">
        <f>-'Fixed Inputs &amp; Assumptions'!$C$8</f>
        <v>-500</v>
      </c>
      <c r="G17" s="387">
        <f>('Fixed Inputs &amp; Assumptions'!$C$18*($F$46-$F$47))*2</f>
        <v>-1806.52</v>
      </c>
      <c r="H17" s="387">
        <f>'Fixed Inputs &amp; Assumptions'!$C$22*($F$48-$F$49)</f>
        <v>-4712</v>
      </c>
      <c r="I17" s="386">
        <f>'Fixed Inputs &amp; Assumptions'!$C$19*'Fixed Inputs &amp; Assumptions'!$C$25</f>
        <v>2042.5</v>
      </c>
      <c r="J17" s="387">
        <f>('Fixed Inputs &amp; Assumptions'!$C$13*($F$46-$F$47))-'Fixed Inputs &amp; Assumptions'!$C$14</f>
        <v>-10000</v>
      </c>
      <c r="K17" s="386">
        <f>'Fixed Inputs &amp; Assumptions'!$C$20</f>
        <v>5000</v>
      </c>
      <c r="L17" s="386">
        <f>'Fixed Inputs &amp; Assumptions'!$C$21</f>
        <v>35000</v>
      </c>
      <c r="M17" s="386">
        <f>'Fixed Inputs &amp; Assumptions'!$C$15*($F$52-$F$53)</f>
        <v>10000</v>
      </c>
      <c r="N17" s="387">
        <f>($F$50-$F$51)*'Fixed Inputs &amp; Assumptions'!$C$17*2</f>
        <v>-4830.4000000000005</v>
      </c>
      <c r="O17" s="372">
        <v>0</v>
      </c>
      <c r="P17" s="384">
        <f t="shared" si="0"/>
        <v>43923.199999999997</v>
      </c>
      <c r="Q17" s="378">
        <f t="shared" si="1"/>
        <v>15919.789009955291</v>
      </c>
    </row>
    <row r="18" spans="2:17">
      <c r="B18" s="269">
        <v>14</v>
      </c>
      <c r="C18" s="270">
        <v>2036</v>
      </c>
      <c r="D18" s="288">
        <f>($F$44*'Fixed Inputs &amp; Assumptions'!$C$7)-($F$45*'Fixed Inputs &amp; Assumptions'!$C$7)</f>
        <v>3232.4700000000003</v>
      </c>
      <c r="E18" s="304">
        <f>'Fixed Inputs &amp; Assumptions'!$C$9*'Fixed Inputs &amp; Assumptions'!$C$25</f>
        <v>5666.75</v>
      </c>
      <c r="F18" s="306">
        <f>-'Fixed Inputs &amp; Assumptions'!$C$8</f>
        <v>-500</v>
      </c>
      <c r="G18" s="306">
        <f>('Fixed Inputs &amp; Assumptions'!$C$18*($F$46-$F$47))*2</f>
        <v>-1806.52</v>
      </c>
      <c r="H18" s="306">
        <f>'Fixed Inputs &amp; Assumptions'!$C$22*($F$48-$F$49)</f>
        <v>-4712</v>
      </c>
      <c r="I18" s="305">
        <f>'Fixed Inputs &amp; Assumptions'!$C$19*'Fixed Inputs &amp; Assumptions'!$C$25</f>
        <v>2042.5</v>
      </c>
      <c r="J18" s="306">
        <f>('Fixed Inputs &amp; Assumptions'!$C$13*($F$46-$F$47))-'Fixed Inputs &amp; Assumptions'!$C$14</f>
        <v>-10000</v>
      </c>
      <c r="K18" s="305">
        <f>'Fixed Inputs &amp; Assumptions'!$C$20</f>
        <v>5000</v>
      </c>
      <c r="L18" s="305">
        <f>'Fixed Inputs &amp; Assumptions'!$C$21</f>
        <v>35000</v>
      </c>
      <c r="M18" s="305">
        <f>'Fixed Inputs &amp; Assumptions'!$C$15*($F$52-$F$53)</f>
        <v>10000</v>
      </c>
      <c r="N18" s="306">
        <f>($F$50-$F$51)*'Fixed Inputs &amp; Assumptions'!$C$17*2</f>
        <v>-4830.4000000000005</v>
      </c>
      <c r="O18" s="288">
        <v>0</v>
      </c>
      <c r="P18" s="307">
        <f t="shared" si="0"/>
        <v>43923.199999999997</v>
      </c>
      <c r="Q18" s="302">
        <f t="shared" si="1"/>
        <v>14878.307485939527</v>
      </c>
    </row>
    <row r="19" spans="2:17">
      <c r="B19" s="356">
        <v>15</v>
      </c>
      <c r="C19" s="357">
        <v>2037</v>
      </c>
      <c r="D19" s="372">
        <f>($F$44*'Fixed Inputs &amp; Assumptions'!$C$7)-($F$45*'Fixed Inputs &amp; Assumptions'!$C$7)</f>
        <v>3232.4700000000003</v>
      </c>
      <c r="E19" s="385">
        <f>'Fixed Inputs &amp; Assumptions'!$C$9*'Fixed Inputs &amp; Assumptions'!$C$25</f>
        <v>5666.75</v>
      </c>
      <c r="F19" s="387">
        <f>-'Fixed Inputs &amp; Assumptions'!$C$8</f>
        <v>-500</v>
      </c>
      <c r="G19" s="387">
        <f>('Fixed Inputs &amp; Assumptions'!$C$18*($F$46-$F$47))*2</f>
        <v>-1806.52</v>
      </c>
      <c r="H19" s="387">
        <f>'Fixed Inputs &amp; Assumptions'!$C$22*($F$48-$F$49)</f>
        <v>-4712</v>
      </c>
      <c r="I19" s="386">
        <f>'Fixed Inputs &amp; Assumptions'!$C$19*'Fixed Inputs &amp; Assumptions'!$C$25</f>
        <v>2042.5</v>
      </c>
      <c r="J19" s="387">
        <f>('Fixed Inputs &amp; Assumptions'!$C$13*($F$46-$F$47))-'Fixed Inputs &amp; Assumptions'!$C$14</f>
        <v>-10000</v>
      </c>
      <c r="K19" s="386">
        <f>'Fixed Inputs &amp; Assumptions'!$C$20*0.5</f>
        <v>2500</v>
      </c>
      <c r="L19" s="386">
        <f>'Fixed Inputs &amp; Assumptions'!$C$21</f>
        <v>35000</v>
      </c>
      <c r="M19" s="386">
        <f>'Fixed Inputs &amp; Assumptions'!$C$15*($F$52-$F$53)</f>
        <v>10000</v>
      </c>
      <c r="N19" s="387">
        <f>($F$50-$F$51)*'Fixed Inputs &amp; Assumptions'!$C$17*2</f>
        <v>-4830.4000000000005</v>
      </c>
      <c r="O19" s="372">
        <v>0</v>
      </c>
      <c r="P19" s="384">
        <f t="shared" si="0"/>
        <v>41423.199999999997</v>
      </c>
      <c r="Q19" s="378">
        <f t="shared" si="1"/>
        <v>13113.524291072927</v>
      </c>
    </row>
    <row r="20" spans="2:17">
      <c r="B20" s="269">
        <v>16</v>
      </c>
      <c r="C20" s="270">
        <v>2038</v>
      </c>
      <c r="D20" s="288">
        <f>($F$44*'Fixed Inputs &amp; Assumptions'!$C$7)-($F$45*'Fixed Inputs &amp; Assumptions'!$C$7)</f>
        <v>3232.4700000000003</v>
      </c>
      <c r="E20" s="304">
        <f>'Fixed Inputs &amp; Assumptions'!$C$9*'Fixed Inputs &amp; Assumptions'!$C$25</f>
        <v>5666.75</v>
      </c>
      <c r="F20" s="306">
        <f>-'Fixed Inputs &amp; Assumptions'!$C$8</f>
        <v>-500</v>
      </c>
      <c r="G20" s="306">
        <f>('Fixed Inputs &amp; Assumptions'!$C$18*($F$46-$F$47))*2</f>
        <v>-1806.52</v>
      </c>
      <c r="H20" s="306">
        <f>'Fixed Inputs &amp; Assumptions'!$C$22*($F$48-$F$49)</f>
        <v>-4712</v>
      </c>
      <c r="I20" s="305">
        <f>'Fixed Inputs &amp; Assumptions'!$C$19*'Fixed Inputs &amp; Assumptions'!$C$25</f>
        <v>2042.5</v>
      </c>
      <c r="J20" s="306">
        <f>('Fixed Inputs &amp; Assumptions'!$C$13*($F$46-$F$47))-'Fixed Inputs &amp; Assumptions'!$C$14</f>
        <v>-10000</v>
      </c>
      <c r="K20" s="305">
        <f>'Fixed Inputs &amp; Assumptions'!$C$20*0.5</f>
        <v>2500</v>
      </c>
      <c r="L20" s="305">
        <f>'Fixed Inputs &amp; Assumptions'!$C$21</f>
        <v>35000</v>
      </c>
      <c r="M20" s="305">
        <f>'Fixed Inputs &amp; Assumptions'!$C$15*($F$52-$F$53)</f>
        <v>10000</v>
      </c>
      <c r="N20" s="306">
        <f>($F$50-$F$51)*'Fixed Inputs &amp; Assumptions'!$C$17*2</f>
        <v>-4830.4000000000005</v>
      </c>
      <c r="O20" s="288">
        <v>0</v>
      </c>
      <c r="P20" s="307">
        <f t="shared" si="0"/>
        <v>41423.199999999997</v>
      </c>
      <c r="Q20" s="302">
        <f t="shared" si="1"/>
        <v>12255.630178572828</v>
      </c>
    </row>
    <row r="21" spans="2:17">
      <c r="B21" s="356">
        <v>17</v>
      </c>
      <c r="C21" s="357">
        <v>2039</v>
      </c>
      <c r="D21" s="372">
        <f>($F$44*'Fixed Inputs &amp; Assumptions'!$C$7)-($F$45*'Fixed Inputs &amp; Assumptions'!$C$7)</f>
        <v>3232.4700000000003</v>
      </c>
      <c r="E21" s="385">
        <f>'Fixed Inputs &amp; Assumptions'!$C$9*'Fixed Inputs &amp; Assumptions'!$C$25</f>
        <v>5666.75</v>
      </c>
      <c r="F21" s="387">
        <f>-'Fixed Inputs &amp; Assumptions'!$C$8</f>
        <v>-500</v>
      </c>
      <c r="G21" s="387">
        <f>('Fixed Inputs &amp; Assumptions'!$C$18*($F$46-$F$47))*2</f>
        <v>-1806.52</v>
      </c>
      <c r="H21" s="387">
        <f>'Fixed Inputs &amp; Assumptions'!$C$22*($F$48-$F$49)</f>
        <v>-4712</v>
      </c>
      <c r="I21" s="386">
        <f>'Fixed Inputs &amp; Assumptions'!$C$19*'Fixed Inputs &amp; Assumptions'!$C$25</f>
        <v>2042.5</v>
      </c>
      <c r="J21" s="387">
        <f>('Fixed Inputs &amp; Assumptions'!$C$13*($F$46-$F$47))-'Fixed Inputs &amp; Assumptions'!$C$14</f>
        <v>-10000</v>
      </c>
      <c r="K21" s="386">
        <f>'Fixed Inputs &amp; Assumptions'!$C$20*0.5</f>
        <v>2500</v>
      </c>
      <c r="L21" s="386">
        <f>'Fixed Inputs &amp; Assumptions'!$C$21</f>
        <v>35000</v>
      </c>
      <c r="M21" s="386">
        <f>'Fixed Inputs &amp; Assumptions'!$C$15*($F$52-$F$53)</f>
        <v>10000</v>
      </c>
      <c r="N21" s="387">
        <f>($F$50-$F$51)*'Fixed Inputs &amp; Assumptions'!$C$17*2</f>
        <v>-4830.4000000000005</v>
      </c>
      <c r="O21" s="372">
        <v>0</v>
      </c>
      <c r="P21" s="384">
        <f t="shared" si="0"/>
        <v>41423.199999999997</v>
      </c>
      <c r="Q21" s="378">
        <f t="shared" si="1"/>
        <v>11453.859979974606</v>
      </c>
    </row>
    <row r="22" spans="2:17">
      <c r="B22" s="269">
        <v>18</v>
      </c>
      <c r="C22" s="270">
        <v>2040</v>
      </c>
      <c r="D22" s="288">
        <f>($F$44*'Fixed Inputs &amp; Assumptions'!$C$7)-($F$45*'Fixed Inputs &amp; Assumptions'!$C$7)</f>
        <v>3232.4700000000003</v>
      </c>
      <c r="E22" s="304">
        <f>'Fixed Inputs &amp; Assumptions'!$C$9*'Fixed Inputs &amp; Assumptions'!$C$25</f>
        <v>5666.75</v>
      </c>
      <c r="F22" s="306">
        <f>-'Fixed Inputs &amp; Assumptions'!$C$8</f>
        <v>-500</v>
      </c>
      <c r="G22" s="306">
        <f>('Fixed Inputs &amp; Assumptions'!$C$18*($F$46-$F$47))*2</f>
        <v>-1806.52</v>
      </c>
      <c r="H22" s="306">
        <f>'Fixed Inputs &amp; Assumptions'!$C$22*($F$48-$F$49)</f>
        <v>-4712</v>
      </c>
      <c r="I22" s="305">
        <f>'Fixed Inputs &amp; Assumptions'!$C$19*'Fixed Inputs &amp; Assumptions'!$C$25</f>
        <v>2042.5</v>
      </c>
      <c r="J22" s="306">
        <f>('Fixed Inputs &amp; Assumptions'!$C$13*($F$46-$F$47))-'Fixed Inputs &amp; Assumptions'!$C$14</f>
        <v>-10000</v>
      </c>
      <c r="K22" s="305">
        <f>'Fixed Inputs &amp; Assumptions'!$C$20*0.5</f>
        <v>2500</v>
      </c>
      <c r="L22" s="305">
        <f>'Fixed Inputs &amp; Assumptions'!$C$21</f>
        <v>35000</v>
      </c>
      <c r="M22" s="305">
        <f>'Fixed Inputs &amp; Assumptions'!$C$15*($F$52-$F$53)</f>
        <v>10000</v>
      </c>
      <c r="N22" s="306">
        <f>($F$50-$F$51)*'Fixed Inputs &amp; Assumptions'!$C$17*2</f>
        <v>-4830.4000000000005</v>
      </c>
      <c r="O22" s="288">
        <v>0</v>
      </c>
      <c r="P22" s="307">
        <f t="shared" si="0"/>
        <v>41423.199999999997</v>
      </c>
      <c r="Q22" s="302">
        <f t="shared" si="1"/>
        <v>10704.542037359444</v>
      </c>
    </row>
    <row r="23" spans="2:17">
      <c r="B23" s="356">
        <v>19</v>
      </c>
      <c r="C23" s="357">
        <v>2041</v>
      </c>
      <c r="D23" s="372">
        <f>($F$44*'Fixed Inputs &amp; Assumptions'!$C$7)-($F$45*'Fixed Inputs &amp; Assumptions'!$C$7)</f>
        <v>3232.4700000000003</v>
      </c>
      <c r="E23" s="385">
        <f>'Fixed Inputs &amp; Assumptions'!$C$9*'Fixed Inputs &amp; Assumptions'!$C$25</f>
        <v>5666.75</v>
      </c>
      <c r="F23" s="387">
        <f>-'Fixed Inputs &amp; Assumptions'!$C$8</f>
        <v>-500</v>
      </c>
      <c r="G23" s="387">
        <f>('Fixed Inputs &amp; Assumptions'!$C$18*($F$46-$F$47))*2</f>
        <v>-1806.52</v>
      </c>
      <c r="H23" s="387">
        <f>'Fixed Inputs &amp; Assumptions'!$C$22*($F$48-$F$49)</f>
        <v>-4712</v>
      </c>
      <c r="I23" s="386">
        <f>'Fixed Inputs &amp; Assumptions'!$C$19*'Fixed Inputs &amp; Assumptions'!$C$25</f>
        <v>2042.5</v>
      </c>
      <c r="J23" s="387">
        <f>('Fixed Inputs &amp; Assumptions'!$C$13*($F$46-$F$47))-'Fixed Inputs &amp; Assumptions'!$C$14</f>
        <v>-10000</v>
      </c>
      <c r="K23" s="386">
        <f>'Fixed Inputs &amp; Assumptions'!$C$20*0.5</f>
        <v>2500</v>
      </c>
      <c r="L23" s="386">
        <f>'Fixed Inputs &amp; Assumptions'!$C$21</f>
        <v>35000</v>
      </c>
      <c r="M23" s="386">
        <f>'Fixed Inputs &amp; Assumptions'!$C$15*($F$52-$F$53)</f>
        <v>10000</v>
      </c>
      <c r="N23" s="387">
        <f>($F$50-$F$51)*'Fixed Inputs &amp; Assumptions'!$C$17*2</f>
        <v>-4830.4000000000005</v>
      </c>
      <c r="O23" s="372">
        <v>0</v>
      </c>
      <c r="P23" s="384">
        <f t="shared" si="0"/>
        <v>41423.199999999997</v>
      </c>
      <c r="Q23" s="378">
        <f t="shared" si="1"/>
        <v>10004.244894728452</v>
      </c>
    </row>
    <row r="24" spans="2:17">
      <c r="B24" s="269">
        <v>20</v>
      </c>
      <c r="C24" s="270">
        <v>2042</v>
      </c>
      <c r="D24" s="288">
        <f>($F$44*'Fixed Inputs &amp; Assumptions'!$C$7)-($F$45*'Fixed Inputs &amp; Assumptions'!$C$7)</f>
        <v>3232.4700000000003</v>
      </c>
      <c r="E24" s="304">
        <f>'Fixed Inputs &amp; Assumptions'!$C$9*'Fixed Inputs &amp; Assumptions'!$C$25</f>
        <v>5666.75</v>
      </c>
      <c r="F24" s="306">
        <f>-'Fixed Inputs &amp; Assumptions'!$C$8</f>
        <v>-500</v>
      </c>
      <c r="G24" s="306">
        <f>('Fixed Inputs &amp; Assumptions'!$C$18*($F$46-$F$47))*2</f>
        <v>-1806.52</v>
      </c>
      <c r="H24" s="306">
        <f>'Fixed Inputs &amp; Assumptions'!$C$22*($F$48-$F$49)</f>
        <v>-4712</v>
      </c>
      <c r="I24" s="305">
        <f>'Fixed Inputs &amp; Assumptions'!$C$19*'Fixed Inputs &amp; Assumptions'!$C$25</f>
        <v>2042.5</v>
      </c>
      <c r="J24" s="306">
        <f>('Fixed Inputs &amp; Assumptions'!$C$13*($F$46-$F$47))-'Fixed Inputs &amp; Assumptions'!$C$14</f>
        <v>-10000</v>
      </c>
      <c r="K24" s="305">
        <f>'Fixed Inputs &amp; Assumptions'!$C$20*0.5</f>
        <v>2500</v>
      </c>
      <c r="L24" s="305">
        <f>'Fixed Inputs &amp; Assumptions'!$C$21</f>
        <v>35000</v>
      </c>
      <c r="M24" s="305">
        <f>'Fixed Inputs &amp; Assumptions'!$C$15*($F$52-$F$53)</f>
        <v>10000</v>
      </c>
      <c r="N24" s="306">
        <f>($F$50-$F$51)*'Fixed Inputs &amp; Assumptions'!$C$17*2</f>
        <v>-4830.4000000000005</v>
      </c>
      <c r="O24" s="288">
        <v>0</v>
      </c>
      <c r="P24" s="307">
        <f t="shared" si="0"/>
        <v>41423.199999999997</v>
      </c>
      <c r="Q24" s="302">
        <f t="shared" si="1"/>
        <v>9349.7615838583679</v>
      </c>
    </row>
    <row r="25" spans="2:17">
      <c r="B25" s="356">
        <v>21</v>
      </c>
      <c r="C25" s="357">
        <v>2043</v>
      </c>
      <c r="D25" s="372">
        <f>($F$44*'Fixed Inputs &amp; Assumptions'!$C$7)-($F$45*'Fixed Inputs &amp; Assumptions'!$C$7)</f>
        <v>3232.4700000000003</v>
      </c>
      <c r="E25" s="385">
        <f>'Fixed Inputs &amp; Assumptions'!$C$9*'Fixed Inputs &amp; Assumptions'!$C$25</f>
        <v>5666.75</v>
      </c>
      <c r="F25" s="387">
        <f>-'Fixed Inputs &amp; Assumptions'!$C$8</f>
        <v>-500</v>
      </c>
      <c r="G25" s="387">
        <f>('Fixed Inputs &amp; Assumptions'!$C$18*($F$46-$F$47))*2</f>
        <v>-1806.52</v>
      </c>
      <c r="H25" s="387">
        <f>'Fixed Inputs &amp; Assumptions'!$C$22*($F$48-$F$49)</f>
        <v>-4712</v>
      </c>
      <c r="I25" s="386">
        <f>'Fixed Inputs &amp; Assumptions'!$C$19*'Fixed Inputs &amp; Assumptions'!$C$25</f>
        <v>2042.5</v>
      </c>
      <c r="J25" s="387">
        <f>('Fixed Inputs &amp; Assumptions'!$C$13*($F$46-$F$47))-'Fixed Inputs &amp; Assumptions'!$C$14</f>
        <v>-10000</v>
      </c>
      <c r="K25" s="386">
        <f>'Fixed Inputs &amp; Assumptions'!$C$20*0.5</f>
        <v>2500</v>
      </c>
      <c r="L25" s="386">
        <f>'Fixed Inputs &amp; Assumptions'!$C$21</f>
        <v>35000</v>
      </c>
      <c r="M25" s="386">
        <f>'Fixed Inputs &amp; Assumptions'!$C$15*($F$52-$F$53)</f>
        <v>10000</v>
      </c>
      <c r="N25" s="387">
        <f>($F$50-$F$51)*'Fixed Inputs &amp; Assumptions'!$C$17*2</f>
        <v>-4830.4000000000005</v>
      </c>
      <c r="O25" s="372">
        <v>0</v>
      </c>
      <c r="P25" s="384">
        <f t="shared" si="0"/>
        <v>41423.199999999997</v>
      </c>
      <c r="Q25" s="378">
        <f t="shared" si="1"/>
        <v>8738.0949381853898</v>
      </c>
    </row>
    <row r="26" spans="2:17">
      <c r="B26" s="269">
        <v>22</v>
      </c>
      <c r="C26" s="270">
        <v>2044</v>
      </c>
      <c r="D26" s="288">
        <f>($F$44*'Fixed Inputs &amp; Assumptions'!$C$7)-($F$45*'Fixed Inputs &amp; Assumptions'!$C$7)</f>
        <v>3232.4700000000003</v>
      </c>
      <c r="E26" s="304">
        <f>'Fixed Inputs &amp; Assumptions'!$C$9*'Fixed Inputs &amp; Assumptions'!$C$25</f>
        <v>5666.75</v>
      </c>
      <c r="F26" s="306">
        <f>-'Fixed Inputs &amp; Assumptions'!$C$8</f>
        <v>-500</v>
      </c>
      <c r="G26" s="306">
        <f>('Fixed Inputs &amp; Assumptions'!$C$18*($F$46-$F$47))*2</f>
        <v>-1806.52</v>
      </c>
      <c r="H26" s="306">
        <f>'Fixed Inputs &amp; Assumptions'!$C$22*($F$48-$F$49)</f>
        <v>-4712</v>
      </c>
      <c r="I26" s="305">
        <f>'Fixed Inputs &amp; Assumptions'!$C$19*'Fixed Inputs &amp; Assumptions'!$C$25</f>
        <v>2042.5</v>
      </c>
      <c r="J26" s="306">
        <f>('Fixed Inputs &amp; Assumptions'!$C$13*($F$46-$F$47))-'Fixed Inputs &amp; Assumptions'!$C$14</f>
        <v>-10000</v>
      </c>
      <c r="K26" s="305">
        <f>'Fixed Inputs &amp; Assumptions'!$C$20*0.5</f>
        <v>2500</v>
      </c>
      <c r="L26" s="305">
        <f>'Fixed Inputs &amp; Assumptions'!$C$21</f>
        <v>35000</v>
      </c>
      <c r="M26" s="305">
        <f>'Fixed Inputs &amp; Assumptions'!$C$15*($F$52-$F$53)</f>
        <v>10000</v>
      </c>
      <c r="N26" s="306">
        <f>($F$50-$F$51)*'Fixed Inputs &amp; Assumptions'!$C$17*2</f>
        <v>-4830.4000000000005</v>
      </c>
      <c r="O26" s="288">
        <v>0</v>
      </c>
      <c r="P26" s="307">
        <f t="shared" si="0"/>
        <v>41423.199999999997</v>
      </c>
      <c r="Q26" s="302">
        <f t="shared" si="1"/>
        <v>8166.443867462981</v>
      </c>
    </row>
    <row r="27" spans="2:17">
      <c r="B27" s="356">
        <v>23</v>
      </c>
      <c r="C27" s="357">
        <v>2045</v>
      </c>
      <c r="D27" s="372">
        <f>($F$44*'Fixed Inputs &amp; Assumptions'!$C$7)-($F$45*'Fixed Inputs &amp; Assumptions'!$C$7)</f>
        <v>3232.4700000000003</v>
      </c>
      <c r="E27" s="385">
        <f>'Fixed Inputs &amp; Assumptions'!$C$9*'Fixed Inputs &amp; Assumptions'!$C$25</f>
        <v>5666.75</v>
      </c>
      <c r="F27" s="387">
        <f>-'Fixed Inputs &amp; Assumptions'!$C$8</f>
        <v>-500</v>
      </c>
      <c r="G27" s="387">
        <f>('Fixed Inputs &amp; Assumptions'!$C$18*($F$46-$F$47))*2</f>
        <v>-1806.52</v>
      </c>
      <c r="H27" s="387">
        <f>'Fixed Inputs &amp; Assumptions'!$C$22*($F$48-$F$49)</f>
        <v>-4712</v>
      </c>
      <c r="I27" s="386">
        <f>'Fixed Inputs &amp; Assumptions'!$C$19*'Fixed Inputs &amp; Assumptions'!$C$25</f>
        <v>2042.5</v>
      </c>
      <c r="J27" s="387">
        <f>('Fixed Inputs &amp; Assumptions'!$C$13*($F$46-$F$47))-'Fixed Inputs &amp; Assumptions'!$C$14</f>
        <v>-10000</v>
      </c>
      <c r="K27" s="386">
        <f>'Fixed Inputs &amp; Assumptions'!$C$20*0.5</f>
        <v>2500</v>
      </c>
      <c r="L27" s="386">
        <f>'Fixed Inputs &amp; Assumptions'!$C$21</f>
        <v>35000</v>
      </c>
      <c r="M27" s="386">
        <f>'Fixed Inputs &amp; Assumptions'!$C$15*($F$52-$F$53)</f>
        <v>10000</v>
      </c>
      <c r="N27" s="387">
        <f>($F$50-$F$51)*'Fixed Inputs &amp; Assumptions'!$C$17*2</f>
        <v>-4830.4000000000005</v>
      </c>
      <c r="O27" s="372">
        <v>0</v>
      </c>
      <c r="P27" s="384">
        <f t="shared" si="0"/>
        <v>41423.199999999997</v>
      </c>
      <c r="Q27" s="378">
        <f t="shared" si="1"/>
        <v>7632.1905303392341</v>
      </c>
    </row>
    <row r="28" spans="2:17">
      <c r="B28" s="269">
        <v>24</v>
      </c>
      <c r="C28" s="270">
        <v>2046</v>
      </c>
      <c r="D28" s="288">
        <f>($F$44*'Fixed Inputs &amp; Assumptions'!$C$7)-($F$45*'Fixed Inputs &amp; Assumptions'!$C$7)</f>
        <v>3232.4700000000003</v>
      </c>
      <c r="E28" s="304">
        <f>'Fixed Inputs &amp; Assumptions'!$C$9*'Fixed Inputs &amp; Assumptions'!$C$25</f>
        <v>5666.75</v>
      </c>
      <c r="F28" s="306">
        <f>-'Fixed Inputs &amp; Assumptions'!$C$8</f>
        <v>-500</v>
      </c>
      <c r="G28" s="306">
        <f>('Fixed Inputs &amp; Assumptions'!$C$18*($F$46-$F$47))*2</f>
        <v>-1806.52</v>
      </c>
      <c r="H28" s="306">
        <f>'Fixed Inputs &amp; Assumptions'!$C$22*($F$48-$F$49)</f>
        <v>-4712</v>
      </c>
      <c r="I28" s="305">
        <f>'Fixed Inputs &amp; Assumptions'!$C$19*'Fixed Inputs &amp; Assumptions'!$C$25</f>
        <v>2042.5</v>
      </c>
      <c r="J28" s="306">
        <f>('Fixed Inputs &amp; Assumptions'!$C$13*($F$46-$F$47))-'Fixed Inputs &amp; Assumptions'!$C$14</f>
        <v>-10000</v>
      </c>
      <c r="K28" s="305">
        <f>'Fixed Inputs &amp; Assumptions'!$C$20*0.5</f>
        <v>2500</v>
      </c>
      <c r="L28" s="305">
        <f>'Fixed Inputs &amp; Assumptions'!$C$21</f>
        <v>35000</v>
      </c>
      <c r="M28" s="305">
        <f>'Fixed Inputs &amp; Assumptions'!$C$15*($F$52-$F$53)</f>
        <v>10000</v>
      </c>
      <c r="N28" s="306">
        <f>($F$50-$F$51)*'Fixed Inputs &amp; Assumptions'!$C$17*2</f>
        <v>-4830.4000000000005</v>
      </c>
      <c r="O28" s="288">
        <v>0</v>
      </c>
      <c r="P28" s="307">
        <f t="shared" si="0"/>
        <v>41423.199999999997</v>
      </c>
      <c r="Q28" s="302">
        <f t="shared" si="1"/>
        <v>7132.8883461114337</v>
      </c>
    </row>
    <row r="29" spans="2:17">
      <c r="B29" s="356">
        <v>25</v>
      </c>
      <c r="C29" s="357">
        <v>2047</v>
      </c>
      <c r="D29" s="372">
        <f>($F$44*'Fixed Inputs &amp; Assumptions'!$C$7)-($F$45*'Fixed Inputs &amp; Assumptions'!$C$7)</f>
        <v>3232.4700000000003</v>
      </c>
      <c r="E29" s="385">
        <f>'Fixed Inputs &amp; Assumptions'!$C$9*'Fixed Inputs &amp; Assumptions'!$C$25</f>
        <v>5666.75</v>
      </c>
      <c r="F29" s="387">
        <f>-'Fixed Inputs &amp; Assumptions'!$C$8</f>
        <v>-500</v>
      </c>
      <c r="G29" s="387">
        <f>('Fixed Inputs &amp; Assumptions'!$C$18*($F$46-$F$47))*2</f>
        <v>-1806.52</v>
      </c>
      <c r="H29" s="387">
        <f>'Fixed Inputs &amp; Assumptions'!$C$22*($F$48-$F$49)</f>
        <v>-4712</v>
      </c>
      <c r="I29" s="386">
        <f>'Fixed Inputs &amp; Assumptions'!$C$19*'Fixed Inputs &amp; Assumptions'!$C$25</f>
        <v>2042.5</v>
      </c>
      <c r="J29" s="387">
        <f>('Fixed Inputs &amp; Assumptions'!$C$13*($F$46-$F$47))-'Fixed Inputs &amp; Assumptions'!$C$14</f>
        <v>-10000</v>
      </c>
      <c r="K29" s="386">
        <f>'Fixed Inputs &amp; Assumptions'!$C$20*0.5</f>
        <v>2500</v>
      </c>
      <c r="L29" s="386">
        <f>'Fixed Inputs &amp; Assumptions'!$C$21</f>
        <v>35000</v>
      </c>
      <c r="M29" s="386">
        <f>'Fixed Inputs &amp; Assumptions'!$C$15*($F$52-$F$53)</f>
        <v>10000</v>
      </c>
      <c r="N29" s="387">
        <f>($F$50-$F$51)*'Fixed Inputs &amp; Assumptions'!$C$17*2</f>
        <v>-4830.4000000000005</v>
      </c>
      <c r="O29" s="372">
        <v>0</v>
      </c>
      <c r="P29" s="384">
        <f t="shared" si="0"/>
        <v>41423.199999999997</v>
      </c>
      <c r="Q29" s="378">
        <f t="shared" si="1"/>
        <v>6666.2507907583486</v>
      </c>
    </row>
    <row r="30" spans="2:17">
      <c r="B30" s="269">
        <v>26</v>
      </c>
      <c r="C30" s="270">
        <v>2048</v>
      </c>
      <c r="D30" s="288">
        <f>($F$44*'Fixed Inputs &amp; Assumptions'!$C$7)-($F$45*'Fixed Inputs &amp; Assumptions'!$C$7)</f>
        <v>3232.4700000000003</v>
      </c>
      <c r="E30" s="304">
        <f>'Fixed Inputs &amp; Assumptions'!$C$9*'Fixed Inputs &amp; Assumptions'!$C$25</f>
        <v>5666.75</v>
      </c>
      <c r="F30" s="306">
        <f>-'Fixed Inputs &amp; Assumptions'!$C$8</f>
        <v>-500</v>
      </c>
      <c r="G30" s="306">
        <f>('Fixed Inputs &amp; Assumptions'!$C$18*($F$46-$F$47))*2</f>
        <v>-1806.52</v>
      </c>
      <c r="H30" s="306">
        <f>'Fixed Inputs &amp; Assumptions'!$C$22*($F$48-$F$49)</f>
        <v>-4712</v>
      </c>
      <c r="I30" s="305">
        <f>'Fixed Inputs &amp; Assumptions'!$C$19*'Fixed Inputs &amp; Assumptions'!$C$25</f>
        <v>2042.5</v>
      </c>
      <c r="J30" s="306">
        <f>('Fixed Inputs &amp; Assumptions'!$C$13*($F$46-$F$47))-'Fixed Inputs &amp; Assumptions'!$C$14</f>
        <v>-10000</v>
      </c>
      <c r="K30" s="305">
        <f>'Fixed Inputs &amp; Assumptions'!$C$20*0.5</f>
        <v>2500</v>
      </c>
      <c r="L30" s="305">
        <f>'Fixed Inputs &amp; Assumptions'!$C$21</f>
        <v>35000</v>
      </c>
      <c r="M30" s="305">
        <f>'Fixed Inputs &amp; Assumptions'!$C$15*($F$52-$F$53)</f>
        <v>10000</v>
      </c>
      <c r="N30" s="306">
        <f>($F$50-$F$51)*'Fixed Inputs &amp; Assumptions'!$C$17*2</f>
        <v>-4830.4000000000005</v>
      </c>
      <c r="O30" s="288">
        <v>0</v>
      </c>
      <c r="P30" s="307">
        <f t="shared" si="0"/>
        <v>41423.199999999997</v>
      </c>
      <c r="Q30" s="302">
        <f t="shared" si="1"/>
        <v>6230.1409259423826</v>
      </c>
    </row>
    <row r="31" spans="2:17">
      <c r="B31" s="356">
        <v>27</v>
      </c>
      <c r="C31" s="357">
        <v>2049</v>
      </c>
      <c r="D31" s="372">
        <f>($F$44*'Fixed Inputs &amp; Assumptions'!$C$7)-($F$45*'Fixed Inputs &amp; Assumptions'!$C$7)</f>
        <v>3232.4700000000003</v>
      </c>
      <c r="E31" s="385">
        <f>'Fixed Inputs &amp; Assumptions'!$C$9*'Fixed Inputs &amp; Assumptions'!$C$25</f>
        <v>5666.75</v>
      </c>
      <c r="F31" s="387">
        <f>-'Fixed Inputs &amp; Assumptions'!$C$8</f>
        <v>-500</v>
      </c>
      <c r="G31" s="387">
        <f>('Fixed Inputs &amp; Assumptions'!$C$18*($F$46-$F$47))*2</f>
        <v>-1806.52</v>
      </c>
      <c r="H31" s="387">
        <f>'Fixed Inputs &amp; Assumptions'!$C$22*($F$48-$F$49)</f>
        <v>-4712</v>
      </c>
      <c r="I31" s="386">
        <f>'Fixed Inputs &amp; Assumptions'!$C$19*'Fixed Inputs &amp; Assumptions'!$C$25</f>
        <v>2042.5</v>
      </c>
      <c r="J31" s="387">
        <f>('Fixed Inputs &amp; Assumptions'!$C$13*($F$46-$F$47))-'Fixed Inputs &amp; Assumptions'!$C$14</f>
        <v>-10000</v>
      </c>
      <c r="K31" s="386">
        <f>'Fixed Inputs &amp; Assumptions'!$C$20*0.5</f>
        <v>2500</v>
      </c>
      <c r="L31" s="386">
        <f>'Fixed Inputs &amp; Assumptions'!$C$21</f>
        <v>35000</v>
      </c>
      <c r="M31" s="386">
        <f>'Fixed Inputs &amp; Assumptions'!$C$15*($F$52-$F$53)</f>
        <v>10000</v>
      </c>
      <c r="N31" s="387">
        <f>($F$50-$F$51)*'Fixed Inputs &amp; Assumptions'!$C$17*2</f>
        <v>-4830.4000000000005</v>
      </c>
      <c r="O31" s="372">
        <v>0</v>
      </c>
      <c r="P31" s="384">
        <f t="shared" si="0"/>
        <v>41423.199999999997</v>
      </c>
      <c r="Q31" s="378">
        <f t="shared" si="1"/>
        <v>5822.5616130302642</v>
      </c>
    </row>
    <row r="32" spans="2:17">
      <c r="B32" s="269">
        <v>28</v>
      </c>
      <c r="C32" s="270">
        <v>2050</v>
      </c>
      <c r="D32" s="288">
        <f>($F$44*'Fixed Inputs &amp; Assumptions'!$C$7)-($F$45*'Fixed Inputs &amp; Assumptions'!$C$7)</f>
        <v>3232.4700000000003</v>
      </c>
      <c r="E32" s="304">
        <f>'Fixed Inputs &amp; Assumptions'!$C$9*'Fixed Inputs &amp; Assumptions'!$C$25</f>
        <v>5666.75</v>
      </c>
      <c r="F32" s="306">
        <f>-'Fixed Inputs &amp; Assumptions'!$C$8</f>
        <v>-500</v>
      </c>
      <c r="G32" s="306">
        <f>('Fixed Inputs &amp; Assumptions'!$C$18*($F$46-$F$47))*2</f>
        <v>-1806.52</v>
      </c>
      <c r="H32" s="306">
        <f>'Fixed Inputs &amp; Assumptions'!$C$22*($F$48-$F$49)</f>
        <v>-4712</v>
      </c>
      <c r="I32" s="305">
        <f>'Fixed Inputs &amp; Assumptions'!$C$19*'Fixed Inputs &amp; Assumptions'!$C$25</f>
        <v>2042.5</v>
      </c>
      <c r="J32" s="306">
        <f>('Fixed Inputs &amp; Assumptions'!$C$13*($F$46-$F$47))-'Fixed Inputs &amp; Assumptions'!$C$14</f>
        <v>-10000</v>
      </c>
      <c r="K32" s="305">
        <f>'Fixed Inputs &amp; Assumptions'!$C$20*0.5</f>
        <v>2500</v>
      </c>
      <c r="L32" s="305">
        <f>'Fixed Inputs &amp; Assumptions'!$C$21</f>
        <v>35000</v>
      </c>
      <c r="M32" s="305">
        <f>'Fixed Inputs &amp; Assumptions'!$C$15*($F$52-$F$53)</f>
        <v>10000</v>
      </c>
      <c r="N32" s="306">
        <f>($F$50-$F$51)*'Fixed Inputs &amp; Assumptions'!$C$17*2</f>
        <v>-4830.4000000000005</v>
      </c>
      <c r="O32" s="288">
        <v>0</v>
      </c>
      <c r="P32" s="307">
        <f t="shared" si="0"/>
        <v>41423.199999999997</v>
      </c>
      <c r="Q32" s="302">
        <f t="shared" si="1"/>
        <v>5441.6463673180042</v>
      </c>
    </row>
    <row r="33" spans="2:17">
      <c r="B33" s="356">
        <v>29</v>
      </c>
      <c r="C33" s="357">
        <v>2051</v>
      </c>
      <c r="D33" s="372">
        <f>($F$44*'Fixed Inputs &amp; Assumptions'!$C$7)-($F$45*'Fixed Inputs &amp; Assumptions'!$C$7)</f>
        <v>3232.4700000000003</v>
      </c>
      <c r="E33" s="385">
        <f>'Fixed Inputs &amp; Assumptions'!$C$9*'Fixed Inputs &amp; Assumptions'!$C$25</f>
        <v>5666.75</v>
      </c>
      <c r="F33" s="387">
        <f>-'Fixed Inputs &amp; Assumptions'!$C$8</f>
        <v>-500</v>
      </c>
      <c r="G33" s="387">
        <f>('Fixed Inputs &amp; Assumptions'!$C$18*($F$46-$F$47))*2</f>
        <v>-1806.52</v>
      </c>
      <c r="H33" s="387">
        <f>'Fixed Inputs &amp; Assumptions'!$C$22*($F$48-$F$49)</f>
        <v>-4712</v>
      </c>
      <c r="I33" s="386">
        <f>'Fixed Inputs &amp; Assumptions'!$C$19*'Fixed Inputs &amp; Assumptions'!$C$25</f>
        <v>2042.5</v>
      </c>
      <c r="J33" s="387">
        <f>('Fixed Inputs &amp; Assumptions'!$C$13*($F$46-$F$47))-'Fixed Inputs &amp; Assumptions'!$C$14</f>
        <v>-10000</v>
      </c>
      <c r="K33" s="386">
        <f>'Fixed Inputs &amp; Assumptions'!$C$20*0.5</f>
        <v>2500</v>
      </c>
      <c r="L33" s="386">
        <f>'Fixed Inputs &amp; Assumptions'!$C$21</f>
        <v>35000</v>
      </c>
      <c r="M33" s="386">
        <f>'Fixed Inputs &amp; Assumptions'!$C$15*($F$52-$F$53)</f>
        <v>10000</v>
      </c>
      <c r="N33" s="387">
        <f>($F$50-$F$51)*'Fixed Inputs &amp; Assumptions'!$C$17*2</f>
        <v>-4830.4000000000005</v>
      </c>
      <c r="O33" s="372">
        <v>0</v>
      </c>
      <c r="P33" s="384">
        <f t="shared" si="0"/>
        <v>41423.199999999997</v>
      </c>
      <c r="Q33" s="378">
        <f t="shared" si="1"/>
        <v>5085.6508105775729</v>
      </c>
    </row>
    <row r="34" spans="2:17">
      <c r="B34" s="269">
        <v>30</v>
      </c>
      <c r="C34" s="270">
        <v>2052</v>
      </c>
      <c r="D34" s="288">
        <f>($F$44*'Fixed Inputs &amp; Assumptions'!$C$7)-($F$45*'Fixed Inputs &amp; Assumptions'!$C$7)</f>
        <v>3232.4700000000003</v>
      </c>
      <c r="E34" s="304">
        <f>'Fixed Inputs &amp; Assumptions'!$C$9*'Fixed Inputs &amp; Assumptions'!$C$25</f>
        <v>5666.75</v>
      </c>
      <c r="F34" s="306">
        <f>-'Fixed Inputs &amp; Assumptions'!$C$8</f>
        <v>-500</v>
      </c>
      <c r="G34" s="306">
        <f>('Fixed Inputs &amp; Assumptions'!$C$18*($F$46-$F$47))*2</f>
        <v>-1806.52</v>
      </c>
      <c r="H34" s="306">
        <f>'Fixed Inputs &amp; Assumptions'!$C$22*($F$48-$F$49)</f>
        <v>-4712</v>
      </c>
      <c r="I34" s="305">
        <f>'Fixed Inputs &amp; Assumptions'!$C$19*'Fixed Inputs &amp; Assumptions'!$C$25</f>
        <v>2042.5</v>
      </c>
      <c r="J34" s="306">
        <f>('Fixed Inputs &amp; Assumptions'!$C$13*($F$46-$F$47))-'Fixed Inputs &amp; Assumptions'!$C$14</f>
        <v>-10000</v>
      </c>
      <c r="K34" s="305">
        <f>'Fixed Inputs &amp; Assumptions'!$C$20*0.5</f>
        <v>2500</v>
      </c>
      <c r="L34" s="305">
        <f>'Fixed Inputs &amp; Assumptions'!$C$21</f>
        <v>35000</v>
      </c>
      <c r="M34" s="305">
        <f>'Fixed Inputs &amp; Assumptions'!$C$15*($F$52-$F$53)</f>
        <v>10000</v>
      </c>
      <c r="N34" s="306">
        <f>($F$50-$F$51)*'Fixed Inputs &amp; Assumptions'!$C$17*2</f>
        <v>-4830.4000000000005</v>
      </c>
      <c r="O34" s="288">
        <f>(('Fixed Inputs &amp; Assumptions'!$C$28-'Fixed Inputs &amp; Assumptions'!$C$4)/'Fixed Inputs &amp; Assumptions'!$C$28)*'Fixed Inputs &amp; Assumptions'!$C$27</f>
        <v>43769438.800000004</v>
      </c>
      <c r="P34" s="307">
        <f t="shared" si="0"/>
        <v>43810862.000000007</v>
      </c>
      <c r="Q34" s="302">
        <f t="shared" si="1"/>
        <v>5026907.713335285</v>
      </c>
    </row>
    <row r="35" spans="2:17" ht="20.100000000000001" customHeight="1" thickBot="1">
      <c r="B35" s="555" t="s">
        <v>73</v>
      </c>
      <c r="C35" s="556"/>
      <c r="D35" s="556"/>
      <c r="E35" s="556"/>
      <c r="F35" s="556"/>
      <c r="G35" s="556"/>
      <c r="H35" s="556"/>
      <c r="I35" s="556"/>
      <c r="J35" s="556"/>
      <c r="K35" s="556"/>
      <c r="L35" s="556"/>
      <c r="M35" s="556"/>
      <c r="N35" s="556"/>
      <c r="O35" s="556"/>
      <c r="P35" s="557"/>
      <c r="Q35" s="309">
        <f>SUM(Q4:Q34)</f>
        <v>5332917.3441592306</v>
      </c>
    </row>
    <row r="36" spans="2:17">
      <c r="B36" t="s">
        <v>114</v>
      </c>
    </row>
    <row r="37" spans="2:17">
      <c r="B37" t="s">
        <v>115</v>
      </c>
    </row>
    <row r="38" spans="2:17">
      <c r="B38" t="s">
        <v>116</v>
      </c>
    </row>
    <row r="39" spans="2:17">
      <c r="B39" t="s">
        <v>117</v>
      </c>
    </row>
    <row r="40" spans="2:17">
      <c r="B40" t="s">
        <v>118</v>
      </c>
    </row>
    <row r="41" spans="2:17">
      <c r="B41" t="s">
        <v>119</v>
      </c>
    </row>
    <row r="42" spans="2:17" ht="20.25" customHeight="1"/>
    <row r="43" spans="2:17" ht="20.25" customHeight="1">
      <c r="B43" s="558" t="s">
        <v>120</v>
      </c>
      <c r="C43" s="559"/>
      <c r="D43" s="559"/>
      <c r="E43" s="559"/>
      <c r="F43" s="559"/>
    </row>
    <row r="44" spans="2:17">
      <c r="B44" s="554" t="s">
        <v>121</v>
      </c>
      <c r="C44" s="554"/>
      <c r="D44" s="554"/>
      <c r="E44" s="554"/>
      <c r="F44" s="63">
        <f>4*'Fixed Inputs &amp; Assumptions'!C25*3</f>
        <v>57</v>
      </c>
    </row>
    <row r="45" spans="2:17">
      <c r="B45" s="554" t="s">
        <v>122</v>
      </c>
      <c r="C45" s="554"/>
      <c r="D45" s="554"/>
      <c r="E45" s="554"/>
      <c r="F45" s="59">
        <f>2*'Fixed Inputs &amp; Assumptions'!C25*3</f>
        <v>28.5</v>
      </c>
    </row>
    <row r="46" spans="2:17">
      <c r="B46" s="554" t="s">
        <v>123</v>
      </c>
      <c r="C46" s="554"/>
      <c r="D46" s="554"/>
      <c r="E46" s="554"/>
      <c r="F46" s="59">
        <f>4*'Fixed Inputs &amp; Assumptions'!C25</f>
        <v>19</v>
      </c>
    </row>
    <row r="47" spans="2:17">
      <c r="B47" s="554" t="s">
        <v>124</v>
      </c>
      <c r="C47" s="554"/>
      <c r="D47" s="554"/>
      <c r="E47" s="554"/>
      <c r="F47" s="59">
        <f>8*'Fixed Inputs &amp; Assumptions'!C25</f>
        <v>38</v>
      </c>
    </row>
    <row r="48" spans="2:17">
      <c r="B48" s="554" t="s">
        <v>125</v>
      </c>
      <c r="C48" s="554"/>
      <c r="D48" s="554"/>
      <c r="E48" s="554"/>
      <c r="F48" s="63">
        <f>6*'Fixed Inputs &amp; Assumptions'!C25</f>
        <v>28.5</v>
      </c>
    </row>
    <row r="49" spans="2:6">
      <c r="B49" s="554" t="s">
        <v>126</v>
      </c>
      <c r="C49" s="554"/>
      <c r="D49" s="554"/>
      <c r="E49" s="554"/>
      <c r="F49" s="59">
        <f>10*'Fixed Inputs &amp; Assumptions'!C25</f>
        <v>47.5</v>
      </c>
    </row>
    <row r="50" spans="2:6">
      <c r="B50" s="554" t="s">
        <v>127</v>
      </c>
      <c r="C50" s="554"/>
      <c r="D50" s="554"/>
      <c r="E50" s="554"/>
      <c r="F50" s="59">
        <v>33200</v>
      </c>
    </row>
    <row r="51" spans="2:6">
      <c r="B51" s="554" t="s">
        <v>128</v>
      </c>
      <c r="C51" s="554"/>
      <c r="D51" s="554"/>
      <c r="E51" s="554"/>
      <c r="F51" s="59">
        <v>93580</v>
      </c>
    </row>
    <row r="52" spans="2:6">
      <c r="B52" s="554" t="s">
        <v>129</v>
      </c>
      <c r="C52" s="554"/>
      <c r="D52" s="554"/>
      <c r="E52" s="554"/>
      <c r="F52" s="59">
        <v>1</v>
      </c>
    </row>
    <row r="53" spans="2:6">
      <c r="B53" s="554" t="s">
        <v>130</v>
      </c>
      <c r="C53" s="554"/>
      <c r="D53" s="554"/>
      <c r="E53" s="554"/>
      <c r="F53" s="59">
        <v>0</v>
      </c>
    </row>
    <row r="54" spans="2:6">
      <c r="B54" t="s">
        <v>131</v>
      </c>
    </row>
  </sheetData>
  <mergeCells count="13">
    <mergeCell ref="B52:E52"/>
    <mergeCell ref="B2:Q2"/>
    <mergeCell ref="B35:P35"/>
    <mergeCell ref="B53:E53"/>
    <mergeCell ref="B44:E44"/>
    <mergeCell ref="B45:E45"/>
    <mergeCell ref="B46:E46"/>
    <mergeCell ref="B47:E47"/>
    <mergeCell ref="B48:E48"/>
    <mergeCell ref="B49:E49"/>
    <mergeCell ref="B50:E50"/>
    <mergeCell ref="B51:E51"/>
    <mergeCell ref="B43:F43"/>
  </mergeCells>
  <pageMargins left="0.7" right="0.7" top="0.75" bottom="0.75" header="0.3" footer="0.3"/>
  <pageSetup scale="54" orientation="landscape"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43FD8-BEED-491E-9B9C-DFB77E1CFB9F}">
  <sheetPr>
    <tabColor rgb="FF0096D6"/>
    <pageSetUpPr fitToPage="1"/>
  </sheetPr>
  <dimension ref="B1:G52"/>
  <sheetViews>
    <sheetView zoomScale="85" zoomScaleNormal="85" workbookViewId="0">
      <selection activeCell="G35" sqref="B2:G35"/>
    </sheetView>
  </sheetViews>
  <sheetFormatPr defaultRowHeight="15"/>
  <cols>
    <col min="2" max="2" width="8.7109375" customWidth="1"/>
    <col min="3" max="3" width="17.85546875" customWidth="1"/>
    <col min="4" max="5" width="15.7109375" customWidth="1"/>
    <col min="6" max="6" width="18.5703125" customWidth="1"/>
    <col min="7" max="7" width="20.5703125" customWidth="1"/>
    <col min="8" max="16" width="12.7109375" customWidth="1"/>
    <col min="17" max="17" width="15.28515625" customWidth="1"/>
    <col min="18" max="18" width="18.7109375" customWidth="1"/>
    <col min="20" max="20" width="51.85546875" bestFit="1" customWidth="1"/>
    <col min="21" max="22" width="11.5703125" bestFit="1" customWidth="1"/>
    <col min="23" max="23" width="12.5703125" bestFit="1" customWidth="1"/>
  </cols>
  <sheetData>
    <row r="1" spans="2:7" ht="15.75" thickBot="1"/>
    <row r="2" spans="2:7" ht="24.95" customHeight="1" thickBot="1">
      <c r="B2" s="538" t="s">
        <v>132</v>
      </c>
      <c r="C2" s="539"/>
      <c r="D2" s="539"/>
      <c r="E2" s="539"/>
      <c r="F2" s="539"/>
      <c r="G2" s="540"/>
    </row>
    <row r="3" spans="2:7" ht="40.5" customHeight="1">
      <c r="B3" s="388"/>
      <c r="C3" s="389"/>
      <c r="D3" s="390" t="s">
        <v>133</v>
      </c>
      <c r="E3" s="389" t="s">
        <v>134</v>
      </c>
      <c r="F3" s="391" t="s">
        <v>71</v>
      </c>
      <c r="G3" s="392" t="s">
        <v>72</v>
      </c>
    </row>
    <row r="4" spans="2:7">
      <c r="B4" s="311">
        <v>0</v>
      </c>
      <c r="C4" s="312">
        <v>2022</v>
      </c>
      <c r="D4" s="313">
        <v>0</v>
      </c>
      <c r="E4" s="314">
        <v>0</v>
      </c>
      <c r="F4" s="315">
        <f>SUM(D4:E4)</f>
        <v>0</v>
      </c>
      <c r="G4" s="316">
        <f>F4/(1.07^(C4-2020))</f>
        <v>0</v>
      </c>
    </row>
    <row r="5" spans="2:7">
      <c r="B5" s="393">
        <v>1</v>
      </c>
      <c r="C5" s="394">
        <v>2023</v>
      </c>
      <c r="D5" s="395">
        <v>0</v>
      </c>
      <c r="E5" s="396">
        <v>0</v>
      </c>
      <c r="F5" s="397">
        <f t="shared" ref="F5:F34" si="0">SUM(D5:E5)</f>
        <v>0</v>
      </c>
      <c r="G5" s="398">
        <f t="shared" ref="G5:G34" si="1">F5/(1.07^(C5-2020))</f>
        <v>0</v>
      </c>
    </row>
    <row r="6" spans="2:7">
      <c r="B6" s="311">
        <v>2</v>
      </c>
      <c r="C6" s="312">
        <v>2024</v>
      </c>
      <c r="D6" s="317">
        <v>0</v>
      </c>
      <c r="E6" s="314">
        <f>'Fixed Inputs &amp; Assumptions'!C11*'Fixed Inputs &amp; Assumptions'!C23</f>
        <v>2203734</v>
      </c>
      <c r="F6" s="315">
        <f t="shared" si="0"/>
        <v>2203734</v>
      </c>
      <c r="G6" s="318">
        <f t="shared" si="1"/>
        <v>1681218.117226341</v>
      </c>
    </row>
    <row r="7" spans="2:7">
      <c r="B7" s="393">
        <v>3</v>
      </c>
      <c r="C7" s="394" t="s">
        <v>62</v>
      </c>
      <c r="D7" s="399">
        <f>(F44+F45)*'Fixed Inputs &amp; Assumptions'!C16</f>
        <v>1534500</v>
      </c>
      <c r="E7" s="396">
        <v>0</v>
      </c>
      <c r="F7" s="397">
        <f t="shared" si="0"/>
        <v>1534500</v>
      </c>
      <c r="G7" s="398">
        <f>F7/(1.07^(2025-2020))</f>
        <v>1094077.292417689</v>
      </c>
    </row>
    <row r="8" spans="2:7">
      <c r="B8" s="311">
        <v>4</v>
      </c>
      <c r="C8" s="312" t="s">
        <v>63</v>
      </c>
      <c r="D8" s="319">
        <v>0</v>
      </c>
      <c r="E8" s="314">
        <v>0</v>
      </c>
      <c r="F8" s="315">
        <f t="shared" si="0"/>
        <v>0</v>
      </c>
      <c r="G8" s="318">
        <f>F8/(1.07^(2026-2020))</f>
        <v>0</v>
      </c>
    </row>
    <row r="9" spans="2:7">
      <c r="B9" s="393">
        <v>5</v>
      </c>
      <c r="C9" s="394" t="s">
        <v>64</v>
      </c>
      <c r="D9" s="399">
        <v>0</v>
      </c>
      <c r="E9" s="396">
        <v>0</v>
      </c>
      <c r="F9" s="397">
        <f t="shared" si="0"/>
        <v>0</v>
      </c>
      <c r="G9" s="398">
        <f>F9/(1.07^(2027-2020))</f>
        <v>0</v>
      </c>
    </row>
    <row r="10" spans="2:7">
      <c r="B10" s="311">
        <v>6</v>
      </c>
      <c r="C10" s="312">
        <v>2028</v>
      </c>
      <c r="D10" s="319">
        <v>0</v>
      </c>
      <c r="E10" s="314">
        <v>0</v>
      </c>
      <c r="F10" s="315">
        <f t="shared" si="0"/>
        <v>0</v>
      </c>
      <c r="G10" s="318">
        <f t="shared" si="1"/>
        <v>0</v>
      </c>
    </row>
    <row r="11" spans="2:7">
      <c r="B11" s="393">
        <v>7</v>
      </c>
      <c r="C11" s="394">
        <v>2029</v>
      </c>
      <c r="D11" s="399">
        <v>0</v>
      </c>
      <c r="E11" s="396">
        <v>0</v>
      </c>
      <c r="F11" s="397">
        <f t="shared" si="0"/>
        <v>0</v>
      </c>
      <c r="G11" s="398">
        <f t="shared" si="1"/>
        <v>0</v>
      </c>
    </row>
    <row r="12" spans="2:7">
      <c r="B12" s="311">
        <v>8</v>
      </c>
      <c r="C12" s="312">
        <v>2030</v>
      </c>
      <c r="D12" s="319">
        <f>(F44+F45)*'Fixed Inputs &amp; Assumptions'!C16</f>
        <v>1534500</v>
      </c>
      <c r="E12" s="314">
        <v>0</v>
      </c>
      <c r="F12" s="315">
        <f t="shared" si="0"/>
        <v>1534500</v>
      </c>
      <c r="G12" s="318">
        <f t="shared" si="1"/>
        <v>780061.98878072447</v>
      </c>
    </row>
    <row r="13" spans="2:7">
      <c r="B13" s="393">
        <v>9</v>
      </c>
      <c r="C13" s="394">
        <v>2031</v>
      </c>
      <c r="D13" s="399">
        <v>0</v>
      </c>
      <c r="E13" s="396">
        <v>0</v>
      </c>
      <c r="F13" s="397">
        <f t="shared" si="0"/>
        <v>0</v>
      </c>
      <c r="G13" s="398">
        <f t="shared" si="1"/>
        <v>0</v>
      </c>
    </row>
    <row r="14" spans="2:7">
      <c r="B14" s="311">
        <v>10</v>
      </c>
      <c r="C14" s="312">
        <v>2032</v>
      </c>
      <c r="D14" s="320">
        <f>($F$44+F45-$F$46-F47-F48)*'Fixed Inputs &amp; Assumptions'!$C$16</f>
        <v>-4454080</v>
      </c>
      <c r="E14" s="314">
        <f>'Fixed Inputs &amp; Assumptions'!C11*'Fixed Inputs &amp; Assumptions'!C23</f>
        <v>2203734</v>
      </c>
      <c r="F14" s="321">
        <f t="shared" si="0"/>
        <v>-2250346</v>
      </c>
      <c r="G14" s="322">
        <f t="shared" si="1"/>
        <v>-999180.53642955166</v>
      </c>
    </row>
    <row r="15" spans="2:7">
      <c r="B15" s="393">
        <v>11</v>
      </c>
      <c r="C15" s="394">
        <v>2033</v>
      </c>
      <c r="D15" s="399">
        <v>0</v>
      </c>
      <c r="E15" s="396"/>
      <c r="F15" s="397">
        <f t="shared" si="0"/>
        <v>0</v>
      </c>
      <c r="G15" s="398">
        <f t="shared" si="1"/>
        <v>0</v>
      </c>
    </row>
    <row r="16" spans="2:7">
      <c r="B16" s="311">
        <v>12</v>
      </c>
      <c r="C16" s="312">
        <v>2034</v>
      </c>
      <c r="D16" s="319">
        <v>0</v>
      </c>
      <c r="E16" s="314">
        <v>0</v>
      </c>
      <c r="F16" s="315">
        <f t="shared" si="0"/>
        <v>0</v>
      </c>
      <c r="G16" s="318">
        <f t="shared" si="1"/>
        <v>0</v>
      </c>
    </row>
    <row r="17" spans="2:7">
      <c r="B17" s="393">
        <v>13</v>
      </c>
      <c r="C17" s="394">
        <v>2035</v>
      </c>
      <c r="D17" s="399">
        <f>(F44+F45)*'Fixed Inputs &amp; Assumptions'!C16</f>
        <v>1534500</v>
      </c>
      <c r="E17" s="396">
        <v>0</v>
      </c>
      <c r="F17" s="397">
        <f t="shared" si="0"/>
        <v>1534500</v>
      </c>
      <c r="G17" s="398">
        <f t="shared" si="1"/>
        <v>556173.41714120086</v>
      </c>
    </row>
    <row r="18" spans="2:7">
      <c r="B18" s="311">
        <v>14</v>
      </c>
      <c r="C18" s="312">
        <v>2036</v>
      </c>
      <c r="D18" s="319">
        <v>0</v>
      </c>
      <c r="E18" s="314">
        <v>0</v>
      </c>
      <c r="F18" s="315">
        <f t="shared" si="0"/>
        <v>0</v>
      </c>
      <c r="G18" s="318">
        <f t="shared" si="1"/>
        <v>0</v>
      </c>
    </row>
    <row r="19" spans="2:7">
      <c r="B19" s="393">
        <v>15</v>
      </c>
      <c r="C19" s="394">
        <v>2037</v>
      </c>
      <c r="D19" s="400">
        <f>($F$44+F45-$F$46-F47-F48)*'Fixed Inputs &amp; Assumptions'!$C$16</f>
        <v>-4454080</v>
      </c>
      <c r="E19" s="401">
        <f>-'Fixed Inputs &amp; Assumptions'!$C$24*'Fixed Inputs &amp; Assumptions'!$C$12</f>
        <v>-902880</v>
      </c>
      <c r="F19" s="402">
        <f t="shared" si="0"/>
        <v>-5356960</v>
      </c>
      <c r="G19" s="403">
        <f t="shared" si="1"/>
        <v>-1695876.3467406195</v>
      </c>
    </row>
    <row r="20" spans="2:7">
      <c r="B20" s="311">
        <v>16</v>
      </c>
      <c r="C20" s="312">
        <v>2038</v>
      </c>
      <c r="D20" s="319">
        <v>0</v>
      </c>
      <c r="E20" s="314">
        <v>0</v>
      </c>
      <c r="F20" s="315">
        <f t="shared" si="0"/>
        <v>0</v>
      </c>
      <c r="G20" s="318">
        <f t="shared" si="1"/>
        <v>0</v>
      </c>
    </row>
    <row r="21" spans="2:7">
      <c r="B21" s="393">
        <v>17</v>
      </c>
      <c r="C21" s="394">
        <v>2039</v>
      </c>
      <c r="D21" s="399">
        <v>0</v>
      </c>
      <c r="E21" s="396">
        <v>0</v>
      </c>
      <c r="F21" s="397">
        <f t="shared" si="0"/>
        <v>0</v>
      </c>
      <c r="G21" s="398">
        <f t="shared" si="1"/>
        <v>0</v>
      </c>
    </row>
    <row r="22" spans="2:7">
      <c r="B22" s="311">
        <v>18</v>
      </c>
      <c r="C22" s="312">
        <v>2040</v>
      </c>
      <c r="D22" s="319">
        <f>(F44+F45)*'Fixed Inputs &amp; Assumptions'!C16</f>
        <v>1534500</v>
      </c>
      <c r="E22" s="314">
        <f>('Fixed Inputs &amp; Assumptions'!C11*'Fixed Inputs &amp; Assumptions'!C23)</f>
        <v>2203734</v>
      </c>
      <c r="F22" s="315">
        <f t="shared" si="0"/>
        <v>3738234</v>
      </c>
      <c r="G22" s="318">
        <f t="shared" si="1"/>
        <v>966030.70256489969</v>
      </c>
    </row>
    <row r="23" spans="2:7">
      <c r="B23" s="393">
        <v>19</v>
      </c>
      <c r="C23" s="394">
        <v>2041</v>
      </c>
      <c r="D23" s="399">
        <v>0</v>
      </c>
      <c r="E23" s="396">
        <v>0</v>
      </c>
      <c r="F23" s="397">
        <f t="shared" si="0"/>
        <v>0</v>
      </c>
      <c r="G23" s="398">
        <f t="shared" si="1"/>
        <v>0</v>
      </c>
    </row>
    <row r="24" spans="2:7">
      <c r="B24" s="311">
        <v>20</v>
      </c>
      <c r="C24" s="312">
        <v>2042</v>
      </c>
      <c r="D24" s="320">
        <f>($F$44+F45-$F$46-F47-F48)*'Fixed Inputs &amp; Assumptions'!$C$16</f>
        <v>-4454080</v>
      </c>
      <c r="E24" s="314"/>
      <c r="F24" s="315">
        <f t="shared" si="0"/>
        <v>-4454080</v>
      </c>
      <c r="G24" s="322">
        <f t="shared" si="1"/>
        <v>-1005344.4947621593</v>
      </c>
    </row>
    <row r="25" spans="2:7">
      <c r="B25" s="393">
        <v>21</v>
      </c>
      <c r="C25" s="394">
        <v>2043</v>
      </c>
      <c r="D25" s="399">
        <v>0</v>
      </c>
      <c r="E25" s="396">
        <v>0</v>
      </c>
      <c r="F25" s="397">
        <f t="shared" si="0"/>
        <v>0</v>
      </c>
      <c r="G25" s="398">
        <f t="shared" si="1"/>
        <v>0</v>
      </c>
    </row>
    <row r="26" spans="2:7">
      <c r="B26" s="311">
        <v>22</v>
      </c>
      <c r="C26" s="312">
        <v>2044</v>
      </c>
      <c r="D26" s="319">
        <v>0</v>
      </c>
      <c r="E26" s="314">
        <v>0</v>
      </c>
      <c r="F26" s="315">
        <f t="shared" si="0"/>
        <v>0</v>
      </c>
      <c r="G26" s="318">
        <f t="shared" si="1"/>
        <v>0</v>
      </c>
    </row>
    <row r="27" spans="2:7">
      <c r="B27" s="393">
        <v>23</v>
      </c>
      <c r="C27" s="394">
        <v>2045</v>
      </c>
      <c r="D27" s="399">
        <f>(F44+F45)*'Fixed Inputs &amp; Assumptions'!C16</f>
        <v>1534500</v>
      </c>
      <c r="E27" s="396">
        <v>0</v>
      </c>
      <c r="F27" s="397">
        <f t="shared" si="0"/>
        <v>1534500</v>
      </c>
      <c r="G27" s="398">
        <f t="shared" si="1"/>
        <v>282730.36290787661</v>
      </c>
    </row>
    <row r="28" spans="2:7">
      <c r="B28" s="311">
        <v>24</v>
      </c>
      <c r="C28" s="312">
        <v>2046</v>
      </c>
      <c r="D28" s="319">
        <v>0</v>
      </c>
      <c r="E28" s="314">
        <v>0</v>
      </c>
      <c r="F28" s="315">
        <f t="shared" si="0"/>
        <v>0</v>
      </c>
      <c r="G28" s="318">
        <f t="shared" si="1"/>
        <v>0</v>
      </c>
    </row>
    <row r="29" spans="2:7">
      <c r="B29" s="393">
        <v>25</v>
      </c>
      <c r="C29" s="394">
        <v>2047</v>
      </c>
      <c r="D29" s="400">
        <f>($F$44+F45-$F$46-F47-F48)*'Fixed Inputs &amp; Assumptions'!$C$16</f>
        <v>-4454080</v>
      </c>
      <c r="E29" s="401">
        <f>-'Fixed Inputs &amp; Assumptions'!$C$24*'Fixed Inputs &amp; Assumptions'!$C$12</f>
        <v>-902880</v>
      </c>
      <c r="F29" s="402">
        <f t="shared" si="0"/>
        <v>-5356960</v>
      </c>
      <c r="G29" s="403">
        <f t="shared" si="1"/>
        <v>-862097.54041360505</v>
      </c>
    </row>
    <row r="30" spans="2:7">
      <c r="B30" s="311">
        <v>26</v>
      </c>
      <c r="C30" s="312">
        <v>2048</v>
      </c>
      <c r="D30" s="319">
        <v>0</v>
      </c>
      <c r="E30" s="314">
        <f>('Fixed Inputs &amp; Assumptions'!C11*'Fixed Inputs &amp; Assumptions'!C23)</f>
        <v>2203734</v>
      </c>
      <c r="F30" s="315">
        <f t="shared" si="0"/>
        <v>2203734</v>
      </c>
      <c r="G30" s="318">
        <f t="shared" si="1"/>
        <v>331446.46920785244</v>
      </c>
    </row>
    <row r="31" spans="2:7">
      <c r="B31" s="393">
        <v>27</v>
      </c>
      <c r="C31" s="394">
        <v>2049</v>
      </c>
      <c r="D31" s="399">
        <v>0</v>
      </c>
      <c r="E31" s="396">
        <v>0</v>
      </c>
      <c r="F31" s="397">
        <f t="shared" si="0"/>
        <v>0</v>
      </c>
      <c r="G31" s="398">
        <f t="shared" si="1"/>
        <v>0</v>
      </c>
    </row>
    <row r="32" spans="2:7">
      <c r="B32" s="311">
        <v>28</v>
      </c>
      <c r="C32" s="312">
        <v>2050</v>
      </c>
      <c r="D32" s="319">
        <f>(F44+F45)*'Fixed Inputs &amp; Assumptions'!C16</f>
        <v>1534500</v>
      </c>
      <c r="E32" s="314">
        <v>0</v>
      </c>
      <c r="F32" s="315">
        <f t="shared" si="0"/>
        <v>1534500</v>
      </c>
      <c r="G32" s="318">
        <f t="shared" si="1"/>
        <v>201582.84127371805</v>
      </c>
    </row>
    <row r="33" spans="2:7">
      <c r="B33" s="393">
        <v>29</v>
      </c>
      <c r="C33" s="394">
        <v>2051</v>
      </c>
      <c r="D33" s="399">
        <v>0</v>
      </c>
      <c r="E33" s="396"/>
      <c r="F33" s="397">
        <f t="shared" si="0"/>
        <v>0</v>
      </c>
      <c r="G33" s="398">
        <f t="shared" si="1"/>
        <v>0</v>
      </c>
    </row>
    <row r="34" spans="2:7">
      <c r="B34" s="311">
        <v>30</v>
      </c>
      <c r="C34" s="312">
        <v>2052</v>
      </c>
      <c r="D34" s="320">
        <f>($F$44+F45-$F$46-F47-F48)*'Fixed Inputs &amp; Assumptions'!$C$16</f>
        <v>-4454080</v>
      </c>
      <c r="E34" s="323">
        <f>-'Fixed Inputs &amp; Assumptions'!C11*'Fixed Inputs &amp; Assumptions'!C24</f>
        <v>-3305601</v>
      </c>
      <c r="F34" s="321">
        <f t="shared" si="0"/>
        <v>-7759681</v>
      </c>
      <c r="G34" s="322">
        <f t="shared" si="1"/>
        <v>-890354.54887697136</v>
      </c>
    </row>
    <row r="35" spans="2:7" ht="20.100000000000001" customHeight="1" thickBot="1">
      <c r="B35" s="555" t="s">
        <v>73</v>
      </c>
      <c r="C35" s="556"/>
      <c r="D35" s="556"/>
      <c r="E35" s="556"/>
      <c r="F35" s="557"/>
      <c r="G35" s="309">
        <f>SUM(G4:G34)</f>
        <v>440467.72429739486</v>
      </c>
    </row>
    <row r="36" spans="2:7">
      <c r="B36" t="s">
        <v>74</v>
      </c>
    </row>
    <row r="37" spans="2:7" ht="31.5" customHeight="1">
      <c r="B37" s="566" t="s">
        <v>135</v>
      </c>
      <c r="C37" s="566"/>
      <c r="D37" s="566"/>
      <c r="E37" s="566"/>
      <c r="F37" s="566"/>
      <c r="G37" s="566"/>
    </row>
    <row r="38" spans="2:7">
      <c r="B38" s="266" t="s">
        <v>136</v>
      </c>
      <c r="C38" s="265"/>
      <c r="D38" s="265"/>
      <c r="E38" s="265"/>
      <c r="F38" s="265"/>
      <c r="G38" s="265"/>
    </row>
    <row r="39" spans="2:7">
      <c r="B39" t="s">
        <v>137</v>
      </c>
    </row>
    <row r="40" spans="2:7" ht="20.25" customHeight="1"/>
    <row r="41" spans="2:7" ht="20.25" customHeight="1">
      <c r="B41" s="558" t="s">
        <v>138</v>
      </c>
      <c r="C41" s="559"/>
      <c r="D41" s="559"/>
      <c r="E41" s="559"/>
      <c r="F41" s="559"/>
    </row>
    <row r="42" spans="2:7">
      <c r="B42" s="560" t="s">
        <v>139</v>
      </c>
      <c r="C42" s="561"/>
      <c r="D42" s="561"/>
      <c r="E42" s="562"/>
      <c r="F42" s="59">
        <v>5</v>
      </c>
    </row>
    <row r="43" spans="2:7">
      <c r="B43" s="563" t="s">
        <v>140</v>
      </c>
      <c r="C43" s="564"/>
      <c r="D43" s="564"/>
      <c r="E43" s="565"/>
      <c r="F43" s="59">
        <v>2035</v>
      </c>
    </row>
    <row r="44" spans="2:7">
      <c r="B44" s="560" t="s">
        <v>141</v>
      </c>
      <c r="C44" s="561"/>
      <c r="D44" s="561"/>
      <c r="E44" s="562"/>
      <c r="F44" s="59">
        <f>11700*3</f>
        <v>35100</v>
      </c>
    </row>
    <row r="45" spans="2:7">
      <c r="B45" s="560" t="s">
        <v>142</v>
      </c>
      <c r="C45" s="561"/>
      <c r="D45" s="561"/>
      <c r="E45" s="562"/>
      <c r="F45" s="59">
        <v>14400</v>
      </c>
    </row>
    <row r="46" spans="2:7">
      <c r="B46" s="560" t="s">
        <v>143</v>
      </c>
      <c r="C46" s="561"/>
      <c r="D46" s="561"/>
      <c r="E46" s="562"/>
      <c r="F46" s="59">
        <v>93580</v>
      </c>
    </row>
    <row r="47" spans="2:7">
      <c r="B47" s="560" t="s">
        <v>144</v>
      </c>
      <c r="C47" s="561"/>
      <c r="D47" s="561"/>
      <c r="E47" s="562"/>
      <c r="F47" s="59">
        <v>40800</v>
      </c>
    </row>
    <row r="48" spans="2:7">
      <c r="B48" s="560" t="s">
        <v>145</v>
      </c>
      <c r="C48" s="561"/>
      <c r="D48" s="561"/>
      <c r="E48" s="562"/>
      <c r="F48" s="59">
        <f>19600*3</f>
        <v>58800</v>
      </c>
    </row>
    <row r="49" spans="2:6">
      <c r="B49" s="560" t="s">
        <v>146</v>
      </c>
      <c r="C49" s="561"/>
      <c r="D49" s="561"/>
      <c r="E49" s="562"/>
      <c r="F49" s="59">
        <v>9</v>
      </c>
    </row>
    <row r="50" spans="2:6">
      <c r="B50" s="560" t="s">
        <v>147</v>
      </c>
      <c r="C50" s="561"/>
      <c r="D50" s="561"/>
      <c r="E50" s="562"/>
      <c r="F50" s="59">
        <v>10</v>
      </c>
    </row>
    <row r="51" spans="2:6">
      <c r="B51" s="560" t="s">
        <v>148</v>
      </c>
      <c r="C51" s="561"/>
      <c r="D51" s="561"/>
      <c r="E51" s="562"/>
      <c r="F51" s="59">
        <v>2037</v>
      </c>
    </row>
    <row r="52" spans="2:6">
      <c r="B52" t="s">
        <v>149</v>
      </c>
    </row>
  </sheetData>
  <mergeCells count="14">
    <mergeCell ref="B2:G2"/>
    <mergeCell ref="B46:E46"/>
    <mergeCell ref="B49:E49"/>
    <mergeCell ref="B50:E50"/>
    <mergeCell ref="B51:E51"/>
    <mergeCell ref="B43:E43"/>
    <mergeCell ref="B37:G37"/>
    <mergeCell ref="B42:E42"/>
    <mergeCell ref="B44:E44"/>
    <mergeCell ref="B41:F41"/>
    <mergeCell ref="B35:F35"/>
    <mergeCell ref="B45:E45"/>
    <mergeCell ref="B47:E47"/>
    <mergeCell ref="B48:E48"/>
  </mergeCells>
  <phoneticPr fontId="18" type="noConversion"/>
  <pageMargins left="0.7" right="0.7" top="0.75" bottom="0.75" header="0.3" footer="0.3"/>
  <pageSetup scale="83" orientation="portrait" r:id="rId1"/>
  <ignoredErrors>
    <ignoredError sqref="F4:F34"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C7CB1-DC62-46AA-A79C-CC43F88ECDF8}">
  <sheetPr>
    <tabColor rgb="FF0096D6"/>
    <pageSetUpPr fitToPage="1"/>
  </sheetPr>
  <dimension ref="B1:T40"/>
  <sheetViews>
    <sheetView zoomScale="85" zoomScaleNormal="85" workbookViewId="0">
      <selection activeCell="B2" sqref="B2:H35"/>
    </sheetView>
  </sheetViews>
  <sheetFormatPr defaultColWidth="9.140625" defaultRowHeight="15.75"/>
  <cols>
    <col min="1" max="1" width="9.140625" style="43"/>
    <col min="2" max="2" width="8.7109375" style="43" customWidth="1"/>
    <col min="3" max="4" width="17.85546875" style="43" customWidth="1"/>
    <col min="5" max="6" width="15.7109375" style="43" customWidth="1"/>
    <col min="7" max="7" width="20.140625" style="43" bestFit="1" customWidth="1"/>
    <col min="8" max="8" width="20.85546875" style="43" bestFit="1" customWidth="1"/>
    <col min="9" max="10" width="9.140625" style="43"/>
    <col min="11" max="11" width="12.42578125" style="43" customWidth="1"/>
    <col min="12" max="14" width="9.140625" style="43"/>
    <col min="15" max="15" width="17.5703125" style="43" customWidth="1"/>
    <col min="16" max="16" width="22.28515625" style="43" customWidth="1"/>
    <col min="17" max="17" width="18.5703125" style="43" bestFit="1" customWidth="1"/>
    <col min="18" max="18" width="21.85546875" style="43" bestFit="1" customWidth="1"/>
    <col min="19" max="16384" width="9.140625" style="43"/>
  </cols>
  <sheetData>
    <row r="1" spans="2:18" ht="16.5" thickBot="1"/>
    <row r="2" spans="2:18" ht="24.95" customHeight="1" thickBot="1">
      <c r="B2" s="538" t="s">
        <v>150</v>
      </c>
      <c r="C2" s="539"/>
      <c r="D2" s="539"/>
      <c r="E2" s="539"/>
      <c r="F2" s="539"/>
      <c r="G2" s="539"/>
      <c r="H2" s="540"/>
    </row>
    <row r="3" spans="2:18" ht="67.5" customHeight="1" thickBot="1">
      <c r="B3" s="280"/>
      <c r="C3" s="281"/>
      <c r="D3" s="281" t="s">
        <v>151</v>
      </c>
      <c r="E3" s="281" t="s">
        <v>152</v>
      </c>
      <c r="F3" s="281" t="s">
        <v>153</v>
      </c>
      <c r="G3" s="282" t="s">
        <v>71</v>
      </c>
      <c r="H3" s="404" t="s">
        <v>154</v>
      </c>
    </row>
    <row r="4" spans="2:18">
      <c r="B4" s="269">
        <v>0</v>
      </c>
      <c r="C4" s="270">
        <v>2022</v>
      </c>
      <c r="D4" s="271">
        <f>$Q$19+($Q$26*(C4-2018))</f>
        <v>190681.54912903771</v>
      </c>
      <c r="E4" s="324">
        <f>$Q$20+($Q$27*(C4-2018))</f>
        <v>596566.8865212244</v>
      </c>
      <c r="F4" s="271">
        <v>0</v>
      </c>
      <c r="G4" s="272">
        <f>E4*F4</f>
        <v>0</v>
      </c>
      <c r="H4" s="310">
        <f>G4/(1.07^(C4-2020))</f>
        <v>0</v>
      </c>
      <c r="N4" s="568" t="s">
        <v>155</v>
      </c>
      <c r="O4" s="569"/>
      <c r="P4" s="569"/>
      <c r="Q4" s="569"/>
      <c r="R4" s="570"/>
    </row>
    <row r="5" spans="2:18">
      <c r="B5" s="356">
        <v>1</v>
      </c>
      <c r="C5" s="357">
        <v>2023</v>
      </c>
      <c r="D5" s="358">
        <f>$Q$19+($Q$26*(C5-2018))</f>
        <v>201251.47979029256</v>
      </c>
      <c r="E5" s="405">
        <f>$Q$20+($Q$27*(C5-2018))</f>
        <v>640115.00084559456</v>
      </c>
      <c r="F5" s="358">
        <v>0</v>
      </c>
      <c r="G5" s="359">
        <f t="shared" ref="G5:G34" si="0">E5*F5</f>
        <v>0</v>
      </c>
      <c r="H5" s="406">
        <f t="shared" ref="H5:H34" si="1">G5/(1.07^(C5-2020))</f>
        <v>0</v>
      </c>
      <c r="N5" s="50" t="s">
        <v>156</v>
      </c>
      <c r="O5" s="51" t="s">
        <v>157</v>
      </c>
      <c r="P5" s="51" t="s">
        <v>158</v>
      </c>
      <c r="Q5" s="51" t="s">
        <v>159</v>
      </c>
      <c r="R5" s="52" t="s">
        <v>160</v>
      </c>
    </row>
    <row r="6" spans="2:18">
      <c r="B6" s="269">
        <v>2</v>
      </c>
      <c r="C6" s="270">
        <v>2024</v>
      </c>
      <c r="D6" s="271">
        <f>$Q$19+($Q$26*(C6-2018))</f>
        <v>211821.41045154745</v>
      </c>
      <c r="E6" s="324">
        <f>$Q$20+($Q$27*(C6-2018))</f>
        <v>683663.1151699645</v>
      </c>
      <c r="F6" s="271">
        <v>0</v>
      </c>
      <c r="G6" s="272">
        <f t="shared" si="0"/>
        <v>0</v>
      </c>
      <c r="H6" s="310">
        <f t="shared" si="1"/>
        <v>0</v>
      </c>
      <c r="N6" s="57" t="s">
        <v>161</v>
      </c>
      <c r="O6" s="53" t="s">
        <v>162</v>
      </c>
      <c r="P6" s="53" t="s">
        <v>163</v>
      </c>
      <c r="Q6" s="53" t="s">
        <v>164</v>
      </c>
      <c r="R6" s="54" t="s">
        <v>165</v>
      </c>
    </row>
    <row r="7" spans="2:18">
      <c r="B7" s="356">
        <v>3</v>
      </c>
      <c r="C7" s="357" t="s">
        <v>62</v>
      </c>
      <c r="D7" s="358">
        <f>$Q$19+($Q$26*(2025-2018))</f>
        <v>222391.3411128023</v>
      </c>
      <c r="E7" s="405">
        <f>$Q$20+($Q$27*(2025-2018))</f>
        <v>727211.22949433455</v>
      </c>
      <c r="F7" s="407"/>
      <c r="G7" s="359">
        <f t="shared" si="0"/>
        <v>0</v>
      </c>
      <c r="H7" s="406">
        <f>G7/(1.07^(2025-2020))</f>
        <v>0</v>
      </c>
      <c r="N7" s="135" t="s">
        <v>166</v>
      </c>
      <c r="O7" s="136" t="s">
        <v>167</v>
      </c>
      <c r="P7" s="136" t="s">
        <v>168</v>
      </c>
      <c r="Q7" s="136" t="s">
        <v>169</v>
      </c>
      <c r="R7" s="137" t="s">
        <v>170</v>
      </c>
    </row>
    <row r="8" spans="2:18">
      <c r="B8" s="269">
        <v>4</v>
      </c>
      <c r="C8" s="270" t="s">
        <v>63</v>
      </c>
      <c r="D8" s="271">
        <f>$Q$19+($Q$26*(2026-2018))</f>
        <v>232961.27177405718</v>
      </c>
      <c r="E8" s="324">
        <f>$Q$20+($Q$27*(2026-2018))</f>
        <v>770759.3438187046</v>
      </c>
      <c r="F8" s="325">
        <f>(('I-44 Incident Reports'!$D$135-'I-44 Incident Reports'!$D$136)/60)*(1/'Fixed Inputs &amp; Assumptions'!$C$31)</f>
        <v>0.50264777777777758</v>
      </c>
      <c r="G8" s="272">
        <f t="shared" si="0"/>
        <v>387420.47137192992</v>
      </c>
      <c r="H8" s="310">
        <f>G8/(1.07^(2026-2020))</f>
        <v>258154.61844601331</v>
      </c>
      <c r="N8" s="135" t="s">
        <v>171</v>
      </c>
      <c r="O8" s="136" t="s">
        <v>172</v>
      </c>
      <c r="P8" s="136" t="s">
        <v>173</v>
      </c>
      <c r="Q8" s="136" t="s">
        <v>174</v>
      </c>
      <c r="R8" s="137" t="s">
        <v>175</v>
      </c>
    </row>
    <row r="9" spans="2:18">
      <c r="B9" s="356">
        <v>5</v>
      </c>
      <c r="C9" s="357" t="s">
        <v>64</v>
      </c>
      <c r="D9" s="358">
        <f>$Q$19+($Q$26*(2027-2018))</f>
        <v>243531.20243531204</v>
      </c>
      <c r="E9" s="405">
        <f>$Q$20+($Q$27*(2027-2018))</f>
        <v>814307.45814307465</v>
      </c>
      <c r="F9" s="407">
        <f>(('I-44 Incident Reports'!$D$135-'I-44 Incident Reports'!$D$136)/60)*(2/'Fixed Inputs &amp; Assumptions'!$C$31)</f>
        <v>1.0052955555555552</v>
      </c>
      <c r="G9" s="359">
        <f t="shared" si="0"/>
        <v>818619.66852697416</v>
      </c>
      <c r="H9" s="406">
        <f>G9/(1.07^(2027-2020))</f>
        <v>509795.18727682269</v>
      </c>
      <c r="N9" s="135" t="s">
        <v>176</v>
      </c>
      <c r="O9" s="136" t="s">
        <v>177</v>
      </c>
      <c r="P9" s="136" t="s">
        <v>178</v>
      </c>
      <c r="Q9" s="136" t="s">
        <v>179</v>
      </c>
      <c r="R9" s="137" t="s">
        <v>180</v>
      </c>
    </row>
    <row r="10" spans="2:18">
      <c r="B10" s="269">
        <v>6</v>
      </c>
      <c r="C10" s="270">
        <v>2028</v>
      </c>
      <c r="D10" s="271">
        <f t="shared" ref="D10:D34" si="2">$Q$19+($Q$26*(C10-2018))</f>
        <v>254101.13309656689</v>
      </c>
      <c r="E10" s="324">
        <f t="shared" ref="E10:E34" si="3">$Q$20+($Q$27*(C10-2018))</f>
        <v>857855.5724674447</v>
      </c>
      <c r="F10" s="325">
        <f>(('I-44 Incident Reports'!$D$135-'I-44 Incident Reports'!$D$136)/60)</f>
        <v>1.5079433333333327</v>
      </c>
      <c r="G10" s="272">
        <f t="shared" si="0"/>
        <v>1293597.591465133</v>
      </c>
      <c r="H10" s="310">
        <f t="shared" si="1"/>
        <v>752885.57587611245</v>
      </c>
      <c r="N10" s="135" t="s">
        <v>181</v>
      </c>
      <c r="O10" s="136" t="s">
        <v>182</v>
      </c>
      <c r="P10" s="136" t="s">
        <v>183</v>
      </c>
      <c r="Q10" s="136" t="s">
        <v>184</v>
      </c>
      <c r="R10" s="137" t="s">
        <v>185</v>
      </c>
    </row>
    <row r="11" spans="2:18">
      <c r="B11" s="356">
        <v>7</v>
      </c>
      <c r="C11" s="357">
        <v>2029</v>
      </c>
      <c r="D11" s="358">
        <f t="shared" si="2"/>
        <v>264671.06375782174</v>
      </c>
      <c r="E11" s="405">
        <f t="shared" si="3"/>
        <v>901403.68679181463</v>
      </c>
      <c r="F11" s="407">
        <f>(('I-44 Incident Reports'!$D$135-'I-44 Incident Reports'!$D$136)/60)</f>
        <v>1.5079433333333327</v>
      </c>
      <c r="G11" s="359">
        <f t="shared" si="0"/>
        <v>1359265.6801398045</v>
      </c>
      <c r="H11" s="406">
        <f t="shared" si="1"/>
        <v>739350.4685646313</v>
      </c>
      <c r="N11" s="135" t="s">
        <v>186</v>
      </c>
      <c r="O11" s="136" t="s">
        <v>187</v>
      </c>
      <c r="P11" s="136" t="s">
        <v>188</v>
      </c>
      <c r="Q11" s="136" t="s">
        <v>189</v>
      </c>
      <c r="R11" s="137" t="s">
        <v>175</v>
      </c>
    </row>
    <row r="12" spans="2:18">
      <c r="B12" s="269">
        <v>8</v>
      </c>
      <c r="C12" s="270">
        <v>2030</v>
      </c>
      <c r="D12" s="271">
        <f t="shared" si="2"/>
        <v>275240.9944190766</v>
      </c>
      <c r="E12" s="324">
        <f t="shared" si="3"/>
        <v>944951.8011161848</v>
      </c>
      <c r="F12" s="325">
        <f>(('I-44 Incident Reports'!$D$135-'I-44 Incident Reports'!$D$136)/60)</f>
        <v>1.5079433333333327</v>
      </c>
      <c r="G12" s="272">
        <f t="shared" si="0"/>
        <v>1424933.7688144762</v>
      </c>
      <c r="H12" s="310">
        <f t="shared" si="1"/>
        <v>724364.07271569455</v>
      </c>
      <c r="N12" s="135" t="s">
        <v>190</v>
      </c>
      <c r="O12" s="136" t="s">
        <v>191</v>
      </c>
      <c r="P12" s="136" t="s">
        <v>192</v>
      </c>
      <c r="Q12" s="136" t="s">
        <v>193</v>
      </c>
      <c r="R12" s="137" t="s">
        <v>194</v>
      </c>
    </row>
    <row r="13" spans="2:18">
      <c r="B13" s="356">
        <v>9</v>
      </c>
      <c r="C13" s="357">
        <v>2031</v>
      </c>
      <c r="D13" s="358">
        <f t="shared" si="2"/>
        <v>285810.92508033151</v>
      </c>
      <c r="E13" s="405">
        <f t="shared" si="3"/>
        <v>988499.91544055473</v>
      </c>
      <c r="F13" s="407">
        <f>(('I-44 Incident Reports'!$D$135-'I-44 Incident Reports'!$D$136)/60)</f>
        <v>1.5079433333333327</v>
      </c>
      <c r="G13" s="359">
        <f t="shared" si="0"/>
        <v>1490601.8574891477</v>
      </c>
      <c r="H13" s="406">
        <f t="shared" si="1"/>
        <v>708174.20477505017</v>
      </c>
      <c r="N13" s="135" t="s">
        <v>195</v>
      </c>
      <c r="O13" s="136" t="s">
        <v>196</v>
      </c>
      <c r="P13" s="136" t="s">
        <v>197</v>
      </c>
      <c r="Q13" s="136" t="s">
        <v>198</v>
      </c>
      <c r="R13" s="137" t="s">
        <v>199</v>
      </c>
    </row>
    <row r="14" spans="2:18">
      <c r="B14" s="269">
        <v>10</v>
      </c>
      <c r="C14" s="270">
        <v>2032</v>
      </c>
      <c r="D14" s="271">
        <f t="shared" si="2"/>
        <v>296380.8557415863</v>
      </c>
      <c r="E14" s="324">
        <f t="shared" si="3"/>
        <v>1032048.0297649248</v>
      </c>
      <c r="F14" s="325">
        <f>(('I-44 Incident Reports'!$D$135-'I-44 Incident Reports'!$D$136)/60)</f>
        <v>1.5079433333333327</v>
      </c>
      <c r="G14" s="272">
        <f t="shared" si="0"/>
        <v>1556269.9461638192</v>
      </c>
      <c r="H14" s="310">
        <f t="shared" si="1"/>
        <v>691002.46790367097</v>
      </c>
      <c r="N14" s="135" t="s">
        <v>200</v>
      </c>
      <c r="O14" s="136" t="s">
        <v>201</v>
      </c>
      <c r="P14" s="136" t="s">
        <v>202</v>
      </c>
      <c r="Q14" s="136" t="s">
        <v>203</v>
      </c>
      <c r="R14" s="137" t="s">
        <v>194</v>
      </c>
    </row>
    <row r="15" spans="2:18" ht="16.5" thickBot="1">
      <c r="B15" s="356">
        <v>11</v>
      </c>
      <c r="C15" s="357">
        <v>2033</v>
      </c>
      <c r="D15" s="358">
        <f t="shared" si="2"/>
        <v>306950.78640284122</v>
      </c>
      <c r="E15" s="405">
        <f t="shared" si="3"/>
        <v>1075596.1440892948</v>
      </c>
      <c r="F15" s="407">
        <f>(('I-44 Incident Reports'!$D$135-'I-44 Incident Reports'!$D$136)/60)</f>
        <v>1.5079433333333327</v>
      </c>
      <c r="G15" s="359">
        <f t="shared" si="0"/>
        <v>1621938.0348384909</v>
      </c>
      <c r="H15" s="406">
        <f t="shared" si="1"/>
        <v>673046.62113617407</v>
      </c>
      <c r="N15" s="138" t="s">
        <v>204</v>
      </c>
      <c r="O15" s="139" t="s">
        <v>205</v>
      </c>
      <c r="P15" s="139" t="s">
        <v>206</v>
      </c>
      <c r="Q15" s="139" t="s">
        <v>207</v>
      </c>
      <c r="R15" s="140" t="s">
        <v>208</v>
      </c>
    </row>
    <row r="16" spans="2:18">
      <c r="B16" s="269">
        <v>12</v>
      </c>
      <c r="C16" s="270">
        <v>2034</v>
      </c>
      <c r="D16" s="271">
        <f t="shared" si="2"/>
        <v>317520.71706409607</v>
      </c>
      <c r="E16" s="324">
        <f t="shared" si="3"/>
        <v>1119144.258413665</v>
      </c>
      <c r="F16" s="325">
        <f>(('I-44 Incident Reports'!$D$135-'I-44 Incident Reports'!$D$136)/60)</f>
        <v>1.5079433333333327</v>
      </c>
      <c r="G16" s="272">
        <f t="shared" si="0"/>
        <v>1687606.1235131626</v>
      </c>
      <c r="H16" s="310">
        <f t="shared" si="1"/>
        <v>654482.75074481755</v>
      </c>
      <c r="N16" s="55" t="s">
        <v>209</v>
      </c>
    </row>
    <row r="17" spans="2:20" ht="16.5" thickBot="1">
      <c r="B17" s="356">
        <v>13</v>
      </c>
      <c r="C17" s="357">
        <v>2035</v>
      </c>
      <c r="D17" s="358">
        <f t="shared" si="2"/>
        <v>328090.64772535092</v>
      </c>
      <c r="E17" s="405">
        <f t="shared" si="3"/>
        <v>1162692.3727380349</v>
      </c>
      <c r="F17" s="407">
        <f>(('I-44 Incident Reports'!$D$135-'I-44 Incident Reports'!$D$136)/60)</f>
        <v>1.5079433333333327</v>
      </c>
      <c r="G17" s="359">
        <f t="shared" si="0"/>
        <v>1753274.2121878341</v>
      </c>
      <c r="H17" s="406">
        <f t="shared" si="1"/>
        <v>635467.25954907434</v>
      </c>
    </row>
    <row r="18" spans="2:20">
      <c r="B18" s="269">
        <v>14</v>
      </c>
      <c r="C18" s="270">
        <v>2036</v>
      </c>
      <c r="D18" s="271">
        <f t="shared" si="2"/>
        <v>338660.57838660583</v>
      </c>
      <c r="E18" s="324">
        <f t="shared" si="3"/>
        <v>1206240.4870624049</v>
      </c>
      <c r="F18" s="325">
        <f>(('I-44 Incident Reports'!$D$135-'I-44 Incident Reports'!$D$136)/60)</f>
        <v>1.5079433333333327</v>
      </c>
      <c r="G18" s="272">
        <f t="shared" si="0"/>
        <v>1818942.3008625056</v>
      </c>
      <c r="H18" s="310">
        <f t="shared" si="1"/>
        <v>616138.68869787909</v>
      </c>
      <c r="N18" s="568" t="s">
        <v>210</v>
      </c>
      <c r="O18" s="569"/>
      <c r="P18" s="569"/>
      <c r="Q18" s="570"/>
      <c r="S18" s="43">
        <f>24*365</f>
        <v>8760</v>
      </c>
      <c r="T18" s="43" t="s">
        <v>211</v>
      </c>
    </row>
    <row r="19" spans="2:20">
      <c r="B19" s="356">
        <v>15</v>
      </c>
      <c r="C19" s="357">
        <v>2037</v>
      </c>
      <c r="D19" s="358">
        <f t="shared" si="2"/>
        <v>349230.50904786063</v>
      </c>
      <c r="E19" s="405">
        <f t="shared" si="3"/>
        <v>1249788.601386775</v>
      </c>
      <c r="F19" s="407">
        <f>(('I-44 Incident Reports'!$D$135-'I-44 Incident Reports'!$D$136)/60)</f>
        <v>1.5079433333333327</v>
      </c>
      <c r="G19" s="359">
        <f t="shared" si="0"/>
        <v>1884610.3895371775</v>
      </c>
      <c r="H19" s="406">
        <f t="shared" si="1"/>
        <v>596619.3853300612</v>
      </c>
      <c r="N19" s="571" t="s">
        <v>212</v>
      </c>
      <c r="O19" s="572"/>
      <c r="P19" s="572"/>
      <c r="Q19" s="47">
        <f>1300000000/S18</f>
        <v>148401.82648401827</v>
      </c>
    </row>
    <row r="20" spans="2:20">
      <c r="B20" s="269">
        <v>16</v>
      </c>
      <c r="C20" s="270">
        <v>2038</v>
      </c>
      <c r="D20" s="271">
        <f t="shared" si="2"/>
        <v>359800.43970911554</v>
      </c>
      <c r="E20" s="324">
        <f t="shared" si="3"/>
        <v>1293336.7157111452</v>
      </c>
      <c r="F20" s="325">
        <f>(('I-44 Incident Reports'!$D$135-'I-44 Incident Reports'!$D$136)/60)</f>
        <v>1.5079433333333327</v>
      </c>
      <c r="G20" s="272">
        <f t="shared" si="0"/>
        <v>1950278.4782118492</v>
      </c>
      <c r="H20" s="310">
        <f t="shared" si="1"/>
        <v>577017.02848148462</v>
      </c>
      <c r="N20" s="571" t="s">
        <v>213</v>
      </c>
      <c r="O20" s="572"/>
      <c r="P20" s="572"/>
      <c r="Q20" s="47">
        <f>3700000000/S18</f>
        <v>422374.42922374432</v>
      </c>
    </row>
    <row r="21" spans="2:20">
      <c r="B21" s="356">
        <v>17</v>
      </c>
      <c r="C21" s="357">
        <v>2039</v>
      </c>
      <c r="D21" s="358">
        <f t="shared" si="2"/>
        <v>370370.37037037039</v>
      </c>
      <c r="E21" s="405">
        <f t="shared" si="3"/>
        <v>1336884.8300355151</v>
      </c>
      <c r="F21" s="407">
        <f>(('I-44 Incident Reports'!$D$135-'I-44 Incident Reports'!$D$136)/60)</f>
        <v>1.5079433333333327</v>
      </c>
      <c r="G21" s="359">
        <f t="shared" si="0"/>
        <v>2015946.5668865207</v>
      </c>
      <c r="H21" s="406">
        <f t="shared" si="1"/>
        <v>557426.02464871667</v>
      </c>
      <c r="N21" s="571" t="s">
        <v>214</v>
      </c>
      <c r="O21" s="572"/>
      <c r="P21" s="572"/>
      <c r="Q21" s="47">
        <f>3800000000-1300000000</f>
        <v>2500000000</v>
      </c>
    </row>
    <row r="22" spans="2:20">
      <c r="B22" s="269">
        <v>18</v>
      </c>
      <c r="C22" s="270">
        <v>2040</v>
      </c>
      <c r="D22" s="271">
        <f t="shared" si="2"/>
        <v>380940.30103162525</v>
      </c>
      <c r="E22" s="324">
        <f t="shared" si="3"/>
        <v>1380432.9443598851</v>
      </c>
      <c r="F22" s="325">
        <f>(('I-44 Incident Reports'!$D$135-'I-44 Incident Reports'!$D$136)/60)</f>
        <v>1.5079433333333327</v>
      </c>
      <c r="G22" s="272">
        <f t="shared" si="0"/>
        <v>2081614.6555611922</v>
      </c>
      <c r="H22" s="310">
        <f t="shared" si="1"/>
        <v>537928.78353285801</v>
      </c>
      <c r="N22" s="571" t="s">
        <v>215</v>
      </c>
      <c r="O22" s="572"/>
      <c r="P22" s="572"/>
      <c r="Q22" s="47">
        <f>14000000000-3700000000</f>
        <v>10300000000</v>
      </c>
    </row>
    <row r="23" spans="2:20">
      <c r="B23" s="356">
        <v>19</v>
      </c>
      <c r="C23" s="357">
        <v>2041</v>
      </c>
      <c r="D23" s="358">
        <f t="shared" si="2"/>
        <v>391510.2316928801</v>
      </c>
      <c r="E23" s="405">
        <f t="shared" si="3"/>
        <v>1423981.058684255</v>
      </c>
      <c r="F23" s="407">
        <f>(('I-44 Incident Reports'!$D$135-'I-44 Incident Reports'!$D$136)/60)</f>
        <v>1.5079433333333327</v>
      </c>
      <c r="G23" s="359">
        <f t="shared" si="0"/>
        <v>2147282.7442358634</v>
      </c>
      <c r="H23" s="406">
        <f t="shared" si="1"/>
        <v>518596.88366809278</v>
      </c>
      <c r="N23" s="571" t="s">
        <v>216</v>
      </c>
      <c r="O23" s="572"/>
      <c r="P23" s="572"/>
      <c r="Q23" s="47">
        <f>2045-2018</f>
        <v>27</v>
      </c>
    </row>
    <row r="24" spans="2:20">
      <c r="B24" s="269">
        <v>20</v>
      </c>
      <c r="C24" s="270">
        <v>2042</v>
      </c>
      <c r="D24" s="271">
        <f t="shared" si="2"/>
        <v>402080.16235413495</v>
      </c>
      <c r="E24" s="324">
        <f t="shared" si="3"/>
        <v>1467529.1730086252</v>
      </c>
      <c r="F24" s="325">
        <f>(('I-44 Incident Reports'!$D$135-'I-44 Incident Reports'!$D$136)/60)</f>
        <v>1.5079433333333327</v>
      </c>
      <c r="G24" s="272">
        <f t="shared" si="0"/>
        <v>2212950.8329105354</v>
      </c>
      <c r="H24" s="310">
        <f t="shared" si="1"/>
        <v>499492.13688257552</v>
      </c>
      <c r="N24" s="571" t="s">
        <v>217</v>
      </c>
      <c r="O24" s="572"/>
      <c r="P24" s="572"/>
      <c r="Q24" s="47">
        <f>Q21/Q23</f>
        <v>92592592.592592597</v>
      </c>
    </row>
    <row r="25" spans="2:20">
      <c r="B25" s="356">
        <v>21</v>
      </c>
      <c r="C25" s="357">
        <v>2043</v>
      </c>
      <c r="D25" s="358">
        <f t="shared" si="2"/>
        <v>412650.09301538987</v>
      </c>
      <c r="E25" s="405">
        <f t="shared" si="3"/>
        <v>1511077.2873329953</v>
      </c>
      <c r="F25" s="407">
        <f>(('I-44 Incident Reports'!$D$135-'I-44 Incident Reports'!$D$136)/60)</f>
        <v>1.5079433333333327</v>
      </c>
      <c r="G25" s="359">
        <f t="shared" si="0"/>
        <v>2278618.9215852073</v>
      </c>
      <c r="H25" s="406">
        <f t="shared" si="1"/>
        <v>480667.55983982777</v>
      </c>
      <c r="N25" s="571" t="s">
        <v>218</v>
      </c>
      <c r="O25" s="572"/>
      <c r="P25" s="572"/>
      <c r="Q25" s="47">
        <f>Q22/Q23</f>
        <v>381481481.48148149</v>
      </c>
    </row>
    <row r="26" spans="2:20">
      <c r="B26" s="269">
        <v>22</v>
      </c>
      <c r="C26" s="270">
        <v>2044</v>
      </c>
      <c r="D26" s="271">
        <f t="shared" si="2"/>
        <v>423220.02367664466</v>
      </c>
      <c r="E26" s="324">
        <f t="shared" si="3"/>
        <v>1554625.4016573653</v>
      </c>
      <c r="F26" s="325">
        <f>(('I-44 Incident Reports'!$D$135-'I-44 Incident Reports'!$D$136)/60)</f>
        <v>1.5079433333333327</v>
      </c>
      <c r="G26" s="272">
        <f t="shared" si="0"/>
        <v>2344287.0102598788</v>
      </c>
      <c r="H26" s="310">
        <f t="shared" si="1"/>
        <v>462168.2602626044</v>
      </c>
      <c r="N26" s="571" t="s">
        <v>219</v>
      </c>
      <c r="O26" s="572"/>
      <c r="P26" s="572"/>
      <c r="Q26" s="48">
        <f>Q24/S18</f>
        <v>10569.930661254863</v>
      </c>
    </row>
    <row r="27" spans="2:20" ht="16.5" thickBot="1">
      <c r="B27" s="356">
        <v>23</v>
      </c>
      <c r="C27" s="357">
        <v>2045</v>
      </c>
      <c r="D27" s="358">
        <f t="shared" si="2"/>
        <v>433789.95433789957</v>
      </c>
      <c r="E27" s="405">
        <f t="shared" si="3"/>
        <v>1598173.5159817352</v>
      </c>
      <c r="F27" s="407">
        <f>(('I-44 Incident Reports'!$D$135-'I-44 Incident Reports'!$D$136)/60)</f>
        <v>1.5079433333333327</v>
      </c>
      <c r="G27" s="359">
        <f t="shared" si="0"/>
        <v>2409955.0989345503</v>
      </c>
      <c r="H27" s="406">
        <f t="shared" si="1"/>
        <v>444032.24484421842</v>
      </c>
      <c r="N27" s="573" t="s">
        <v>220</v>
      </c>
      <c r="O27" s="574"/>
      <c r="P27" s="574"/>
      <c r="Q27" s="49">
        <f>Q25/S18</f>
        <v>43548.114324370035</v>
      </c>
    </row>
    <row r="28" spans="2:20">
      <c r="B28" s="269">
        <v>24</v>
      </c>
      <c r="C28" s="270">
        <v>2046</v>
      </c>
      <c r="D28" s="271">
        <f t="shared" si="2"/>
        <v>444359.88499915437</v>
      </c>
      <c r="E28" s="324">
        <f t="shared" si="3"/>
        <v>1641721.6303061051</v>
      </c>
      <c r="F28" s="325">
        <f>(('I-44 Incident Reports'!$D$135-'I-44 Incident Reports'!$D$136)/60)</f>
        <v>1.5079433333333327</v>
      </c>
      <c r="G28" s="272">
        <f t="shared" si="0"/>
        <v>2475623.1876092218</v>
      </c>
      <c r="H28" s="310">
        <f t="shared" si="1"/>
        <v>426291.15530091978</v>
      </c>
    </row>
    <row r="29" spans="2:20">
      <c r="B29" s="356">
        <v>25</v>
      </c>
      <c r="C29" s="357">
        <v>2047</v>
      </c>
      <c r="D29" s="358">
        <f t="shared" si="2"/>
        <v>454929.81566040928</v>
      </c>
      <c r="E29" s="405">
        <f t="shared" si="3"/>
        <v>1685269.7446304755</v>
      </c>
      <c r="F29" s="407">
        <f>(('I-44 Incident Reports'!$D$135-'I-44 Incident Reports'!$D$136)/60)</f>
        <v>1.5079433333333327</v>
      </c>
      <c r="G29" s="359">
        <f t="shared" si="0"/>
        <v>2541291.2762838937</v>
      </c>
      <c r="H29" s="406">
        <f t="shared" si="1"/>
        <v>408970.93850969506</v>
      </c>
    </row>
    <row r="30" spans="2:20">
      <c r="B30" s="269">
        <v>26</v>
      </c>
      <c r="C30" s="270">
        <v>2048</v>
      </c>
      <c r="D30" s="271">
        <f t="shared" si="2"/>
        <v>465499.74632166419</v>
      </c>
      <c r="E30" s="324">
        <f t="shared" si="3"/>
        <v>1728817.8589548455</v>
      </c>
      <c r="F30" s="325">
        <f>(('I-44 Incident Reports'!$D$135-'I-44 Incident Reports'!$D$136)/60)</f>
        <v>1.5079433333333327</v>
      </c>
      <c r="G30" s="272">
        <f t="shared" si="0"/>
        <v>2606959.3649585652</v>
      </c>
      <c r="H30" s="310">
        <f t="shared" si="1"/>
        <v>392092.45620563172</v>
      </c>
    </row>
    <row r="31" spans="2:20">
      <c r="B31" s="356">
        <v>27</v>
      </c>
      <c r="C31" s="357">
        <v>2049</v>
      </c>
      <c r="D31" s="358">
        <f t="shared" si="2"/>
        <v>476069.67698291899</v>
      </c>
      <c r="E31" s="405">
        <f t="shared" si="3"/>
        <v>1772365.9732792154</v>
      </c>
      <c r="F31" s="407">
        <f>(('I-44 Incident Reports'!$D$135-'I-44 Incident Reports'!$D$136)/60)</f>
        <v>1.5079433333333327</v>
      </c>
      <c r="G31" s="359">
        <f t="shared" si="0"/>
        <v>2672627.4536332367</v>
      </c>
      <c r="H31" s="406">
        <f t="shared" si="1"/>
        <v>375672.03927885118</v>
      </c>
    </row>
    <row r="32" spans="2:20">
      <c r="B32" s="269">
        <v>28</v>
      </c>
      <c r="C32" s="270">
        <v>2050</v>
      </c>
      <c r="D32" s="271">
        <f t="shared" si="2"/>
        <v>486639.6076441739</v>
      </c>
      <c r="E32" s="324">
        <f t="shared" si="3"/>
        <v>1815914.0876035853</v>
      </c>
      <c r="F32" s="325">
        <f>(('I-44 Incident Reports'!$D$135-'I-44 Incident Reports'!$D$136)/60)</f>
        <v>1.5079433333333327</v>
      </c>
      <c r="G32" s="272">
        <f t="shared" si="0"/>
        <v>2738295.5423079082</v>
      </c>
      <c r="H32" s="310">
        <f t="shared" si="1"/>
        <v>359721.99131025403</v>
      </c>
    </row>
    <row r="33" spans="2:11">
      <c r="B33" s="356">
        <v>29</v>
      </c>
      <c r="C33" s="357">
        <v>2051</v>
      </c>
      <c r="D33" s="358">
        <f t="shared" si="2"/>
        <v>497209.53830542869</v>
      </c>
      <c r="E33" s="405">
        <f t="shared" si="3"/>
        <v>1859462.2019279553</v>
      </c>
      <c r="F33" s="407">
        <f>(('I-44 Incident Reports'!$D$135-'I-44 Incident Reports'!$D$136)/60)</f>
        <v>1.5079433333333327</v>
      </c>
      <c r="G33" s="359">
        <f t="shared" si="0"/>
        <v>2803963.6309825797</v>
      </c>
      <c r="H33" s="406">
        <f t="shared" si="1"/>
        <v>344251.04561541823</v>
      </c>
    </row>
    <row r="34" spans="2:11" ht="16.5" thickBot="1">
      <c r="B34" s="269">
        <v>30</v>
      </c>
      <c r="C34" s="270">
        <v>2052</v>
      </c>
      <c r="D34" s="271">
        <f t="shared" si="2"/>
        <v>507779.46896668361</v>
      </c>
      <c r="E34" s="324">
        <f t="shared" si="3"/>
        <v>1903010.3162523257</v>
      </c>
      <c r="F34" s="325">
        <f>(('I-44 Incident Reports'!$D$135-'I-44 Incident Reports'!$D$136)/60)</f>
        <v>1.5079433333333327</v>
      </c>
      <c r="G34" s="326">
        <f t="shared" si="0"/>
        <v>2869631.7196572516</v>
      </c>
      <c r="H34" s="310">
        <f t="shared" si="1"/>
        <v>329264.77972464071</v>
      </c>
    </row>
    <row r="35" spans="2:11" ht="20.100000000000001" customHeight="1" thickBot="1">
      <c r="B35" s="531" t="s">
        <v>73</v>
      </c>
      <c r="C35" s="532"/>
      <c r="D35" s="532"/>
      <c r="E35" s="532"/>
      <c r="F35" s="532"/>
      <c r="G35" s="533"/>
      <c r="H35" s="277">
        <f>SUM(H4:H34)</f>
        <v>14273074.629121793</v>
      </c>
      <c r="K35" s="58"/>
    </row>
    <row r="36" spans="2:11">
      <c r="B36" t="s">
        <v>74</v>
      </c>
    </row>
    <row r="37" spans="2:11">
      <c r="B37" s="567" t="s">
        <v>221</v>
      </c>
      <c r="C37" s="567"/>
      <c r="D37" s="567"/>
      <c r="E37" s="567"/>
      <c r="F37" s="567"/>
      <c r="G37" s="567"/>
      <c r="H37" s="567"/>
    </row>
    <row r="38" spans="2:11">
      <c r="B38" s="567"/>
      <c r="C38" s="567"/>
      <c r="D38" s="567"/>
      <c r="E38" s="567"/>
      <c r="F38" s="567"/>
      <c r="G38" s="567"/>
      <c r="H38" s="567"/>
    </row>
    <row r="39" spans="2:11">
      <c r="B39" t="s">
        <v>222</v>
      </c>
    </row>
    <row r="40" spans="2:11">
      <c r="B40" t="s">
        <v>100</v>
      </c>
    </row>
  </sheetData>
  <mergeCells count="14">
    <mergeCell ref="B37:H38"/>
    <mergeCell ref="B2:H2"/>
    <mergeCell ref="B35:G35"/>
    <mergeCell ref="N4:R4"/>
    <mergeCell ref="N21:P21"/>
    <mergeCell ref="N23:P23"/>
    <mergeCell ref="N22:P22"/>
    <mergeCell ref="N19:P19"/>
    <mergeCell ref="N20:P20"/>
    <mergeCell ref="N18:Q18"/>
    <mergeCell ref="N26:P26"/>
    <mergeCell ref="N27:P27"/>
    <mergeCell ref="N24:P24"/>
    <mergeCell ref="N25:P25"/>
  </mergeCells>
  <pageMargins left="0.7" right="0.7" top="0.75" bottom="0.75" header="0.3" footer="0.3"/>
  <pageSetup scale="32"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Introduction</vt:lpstr>
      <vt:lpstr>BCA Result Summary</vt:lpstr>
      <vt:lpstr>BCA Discount Summary</vt:lpstr>
      <vt:lpstr>1. Travel Time Savings</vt:lpstr>
      <vt:lpstr>2. Safety</vt:lpstr>
      <vt:lpstr>3. Emissions</vt:lpstr>
      <vt:lpstr>4. O&amp;M</vt:lpstr>
      <vt:lpstr>5. SOGR</vt:lpstr>
      <vt:lpstr>6. Reliability</vt:lpstr>
      <vt:lpstr> 7. Noise</vt:lpstr>
      <vt:lpstr>8. PED &amp; Cycling</vt:lpstr>
      <vt:lpstr>Fixed Inputs &amp; Assumptions</vt:lpstr>
      <vt:lpstr>Traffic Inputs</vt:lpstr>
      <vt:lpstr>HSM Safety Inputs</vt:lpstr>
      <vt:lpstr>Queue Attributed Crashes</vt:lpstr>
      <vt:lpstr>I-44 Incident Reports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 DeMoss</dc:creator>
  <cp:keywords/>
  <dc:description/>
  <cp:lastModifiedBy>Debbie Parks</cp:lastModifiedBy>
  <cp:revision/>
  <dcterms:created xsi:type="dcterms:W3CDTF">2022-02-28T01:35:18Z</dcterms:created>
  <dcterms:modified xsi:type="dcterms:W3CDTF">2022-05-18T20:00:38Z</dcterms:modified>
  <cp:category/>
  <cp:contentStatus/>
</cp:coreProperties>
</file>