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hartsheets/sheet1.xml" ContentType="application/vnd.openxmlformats-officedocument.spreadsheetml.chart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M:\Grants\RAISE\RAISE 2025 City of Republic\Final Drafts\Final\"/>
    </mc:Choice>
  </mc:AlternateContent>
  <xr:revisionPtr revIDLastSave="0" documentId="8_{40ED836B-6E13-4392-8640-C1E0DD8D279C}" xr6:coauthVersionLast="47" xr6:coauthVersionMax="47" xr10:uidLastSave="{00000000-0000-0000-0000-000000000000}"/>
  <bookViews>
    <workbookView xWindow="-120" yWindow="-120" windowWidth="29040" windowHeight="15840" activeTab="1" xr2:uid="{F359A226-429B-4B39-ADCF-FA4E6BC947FC}"/>
  </bookViews>
  <sheets>
    <sheet name="Overview" sheetId="1" r:id="rId1"/>
    <sheet name="Project Information" sheetId="28" r:id="rId2"/>
    <sheet name="Parameter Values" sheetId="12" r:id="rId3"/>
    <sheet name="User Volumes" sheetId="34" r:id="rId4"/>
    <sheet name="Capital Costs" sheetId="2" r:id="rId5"/>
    <sheet name="Operations and Maintenance" sheetId="3" r:id="rId6"/>
    <sheet name="Safety" sheetId="31" r:id="rId7"/>
    <sheet name="Travel Time Savings" sheetId="32" r:id="rId8"/>
    <sheet name="Vehicle Operating Cost Savings" sheetId="33" r:id="rId9"/>
    <sheet name="Chart1" sheetId="36" r:id="rId10"/>
    <sheet name="Emissions Reduction" sheetId="20" r:id="rId11"/>
    <sheet name="Other Highway Use Externalities" sheetId="35" r:id="rId12"/>
    <sheet name="Amenity Benefits" sheetId="21" r:id="rId13"/>
    <sheet name="Health Benefits" sheetId="22" r:id="rId14"/>
    <sheet name="Residual Value" sheetId="23" r:id="rId15"/>
    <sheet name="Other Benefit 1" sheetId="24" r:id="rId16"/>
    <sheet name="Other Benefit 2" sheetId="25" r:id="rId17"/>
    <sheet name="Other Benefit 3" sheetId="26" r:id="rId18"/>
    <sheet name="Other Benefit 4" sheetId="27" r:id="rId19"/>
    <sheet name="Summary" sheetId="11" r:id="rId20"/>
    <sheet name="Final Results" sheetId="30" r:id="rId2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3" l="1"/>
  <c r="B26" i="3"/>
  <c r="C27" i="3"/>
  <c r="C26" i="3"/>
  <c r="C25" i="3"/>
  <c r="C24" i="3"/>
  <c r="C23" i="3"/>
  <c r="C22" i="3"/>
  <c r="C21" i="3"/>
  <c r="C20" i="3"/>
  <c r="C19" i="3"/>
  <c r="C18" i="3"/>
  <c r="C17" i="3"/>
  <c r="C16" i="3"/>
  <c r="C15" i="3"/>
  <c r="C14" i="3"/>
  <c r="C13" i="3"/>
  <c r="C12" i="3"/>
  <c r="C11" i="3"/>
  <c r="C10" i="3"/>
  <c r="C9" i="3"/>
  <c r="C8" i="3"/>
  <c r="B25" i="3"/>
  <c r="B24" i="3"/>
  <c r="B23" i="3"/>
  <c r="B22" i="3"/>
  <c r="B21" i="3"/>
  <c r="B20" i="3"/>
  <c r="B19" i="3"/>
  <c r="B18" i="3"/>
  <c r="B17" i="3"/>
  <c r="B16" i="3"/>
  <c r="B15" i="3"/>
  <c r="B14" i="3"/>
  <c r="B13" i="3"/>
  <c r="B12" i="3"/>
  <c r="B11" i="3"/>
  <c r="B10" i="3"/>
  <c r="B9" i="3"/>
  <c r="B8" i="3"/>
  <c r="J16" i="3"/>
  <c r="K16" i="3"/>
  <c r="K17" i="3"/>
  <c r="J17" i="3"/>
  <c r="J18" i="3" s="1"/>
  <c r="J19" i="3" s="1"/>
  <c r="J20" i="3" s="1"/>
  <c r="J21" i="3" s="1"/>
  <c r="J22" i="3" s="1"/>
  <c r="J23" i="3" s="1"/>
  <c r="J24" i="3" s="1"/>
  <c r="J25" i="3" s="1"/>
  <c r="J26" i="3" s="1"/>
  <c r="J27" i="3" s="1"/>
  <c r="J28" i="3" s="1"/>
  <c r="J29" i="3" s="1"/>
  <c r="J30" i="3" s="1"/>
  <c r="J31" i="3" s="1"/>
  <c r="J32" i="3" s="1"/>
  <c r="J33" i="3" s="1"/>
  <c r="J34" i="3" s="1"/>
  <c r="J35" i="3" s="1"/>
  <c r="J13" i="12"/>
  <c r="I13" i="12"/>
  <c r="J10" i="12"/>
  <c r="I10" i="12"/>
  <c r="U17" i="21"/>
  <c r="U18" i="21" s="1"/>
  <c r="U19" i="21" s="1"/>
  <c r="U20" i="21" s="1"/>
  <c r="U21" i="21" s="1"/>
  <c r="U22" i="21" s="1"/>
  <c r="U23" i="21" s="1"/>
  <c r="U24" i="21" s="1"/>
  <c r="U25" i="21" s="1"/>
  <c r="U26" i="21" s="1"/>
  <c r="U27" i="21" s="1"/>
  <c r="U28" i="21" s="1"/>
  <c r="U29" i="21" s="1"/>
  <c r="U30" i="21" s="1"/>
  <c r="U31" i="21" s="1"/>
  <c r="U32" i="21" s="1"/>
  <c r="U33" i="21" s="1"/>
  <c r="U34" i="21" s="1"/>
  <c r="U35" i="21" s="1"/>
  <c r="U36" i="21" s="1"/>
  <c r="T17" i="21"/>
  <c r="V17" i="21"/>
  <c r="B11" i="21" s="1"/>
  <c r="M15" i="21"/>
  <c r="J15" i="21"/>
  <c r="N15" i="21" s="1"/>
  <c r="M14" i="21"/>
  <c r="J14" i="21"/>
  <c r="N14" i="21" s="1"/>
  <c r="N138" i="12"/>
  <c r="K138" i="12"/>
  <c r="O138" i="12" s="1"/>
  <c r="N137" i="12"/>
  <c r="K137" i="12"/>
  <c r="O137" i="12" s="1"/>
  <c r="B16" i="22"/>
  <c r="B17" i="22" s="1"/>
  <c r="B18" i="22" s="1"/>
  <c r="B19" i="22" s="1"/>
  <c r="B20" i="22" s="1"/>
  <c r="B21" i="22" s="1"/>
  <c r="B22" i="22" s="1"/>
  <c r="B23" i="22" s="1"/>
  <c r="B24" i="22" s="1"/>
  <c r="B25" i="22" s="1"/>
  <c r="B26" i="22" s="1"/>
  <c r="B27" i="22" s="1"/>
  <c r="B28" i="22" s="1"/>
  <c r="B29" i="22" s="1"/>
  <c r="B30" i="22" s="1"/>
  <c r="B31" i="22" s="1"/>
  <c r="B32" i="22" s="1"/>
  <c r="B33" i="22" s="1"/>
  <c r="B34" i="22" s="1"/>
  <c r="M30" i="22"/>
  <c r="M29" i="22"/>
  <c r="M20" i="22"/>
  <c r="M19" i="22"/>
  <c r="K18" i="3" l="1"/>
  <c r="L17" i="3"/>
  <c r="J36" i="3"/>
  <c r="K38" i="3" s="1"/>
  <c r="L16" i="3"/>
  <c r="T18" i="21"/>
  <c r="K19" i="3" l="1"/>
  <c r="L18" i="3"/>
  <c r="V18" i="21"/>
  <c r="B12" i="21" s="1"/>
  <c r="T19" i="21"/>
  <c r="K20" i="3" l="1"/>
  <c r="L19" i="3"/>
  <c r="T20" i="21"/>
  <c r="V19" i="21"/>
  <c r="B13" i="21" s="1"/>
  <c r="K21" i="3" l="1"/>
  <c r="L20" i="3"/>
  <c r="T21" i="21"/>
  <c r="V20" i="21"/>
  <c r="B14" i="21" s="1"/>
  <c r="L21" i="3" l="1"/>
  <c r="K22" i="3"/>
  <c r="V21" i="21"/>
  <c r="B15" i="21" s="1"/>
  <c r="T22" i="21"/>
  <c r="K23" i="3" l="1"/>
  <c r="L22" i="3"/>
  <c r="V22" i="21"/>
  <c r="B16" i="21" s="1"/>
  <c r="T23" i="21"/>
  <c r="K24" i="3" l="1"/>
  <c r="L23" i="3"/>
  <c r="V23" i="21"/>
  <c r="B17" i="21" s="1"/>
  <c r="T24" i="21"/>
  <c r="K25" i="3" l="1"/>
  <c r="L24" i="3"/>
  <c r="T25" i="21"/>
  <c r="V24" i="21"/>
  <c r="B18" i="21" s="1"/>
  <c r="L25" i="3" l="1"/>
  <c r="K26" i="3"/>
  <c r="V25" i="21"/>
  <c r="B19" i="21" s="1"/>
  <c r="T26" i="21"/>
  <c r="K27" i="3" l="1"/>
  <c r="L26" i="3"/>
  <c r="T27" i="21"/>
  <c r="V26" i="21"/>
  <c r="B20" i="21" s="1"/>
  <c r="K28" i="3" l="1"/>
  <c r="L27" i="3"/>
  <c r="T28" i="21"/>
  <c r="V27" i="21"/>
  <c r="B21" i="21" s="1"/>
  <c r="K29" i="3" l="1"/>
  <c r="L28" i="3"/>
  <c r="V28" i="21"/>
  <c r="B22" i="21" s="1"/>
  <c r="T29" i="21"/>
  <c r="K30" i="3" l="1"/>
  <c r="L29" i="3"/>
  <c r="V29" i="21"/>
  <c r="B23" i="21" s="1"/>
  <c r="T30" i="21"/>
  <c r="K31" i="3" l="1"/>
  <c r="L30" i="3"/>
  <c r="V30" i="21"/>
  <c r="B24" i="21" s="1"/>
  <c r="T31" i="21"/>
  <c r="K32" i="3" l="1"/>
  <c r="L31" i="3"/>
  <c r="T32" i="21"/>
  <c r="V31" i="21"/>
  <c r="B25" i="21" s="1"/>
  <c r="K33" i="3" l="1"/>
  <c r="L32" i="3"/>
  <c r="T33" i="21"/>
  <c r="V32" i="21"/>
  <c r="B26" i="21" s="1"/>
  <c r="L33" i="3" l="1"/>
  <c r="K34" i="3"/>
  <c r="T34" i="21"/>
  <c r="V33" i="21"/>
  <c r="B27" i="21" s="1"/>
  <c r="K35" i="3" l="1"/>
  <c r="L34" i="3"/>
  <c r="V34" i="21"/>
  <c r="B28" i="21" s="1"/>
  <c r="T35" i="21"/>
  <c r="L35" i="3" l="1"/>
  <c r="L36" i="3" s="1"/>
  <c r="K36" i="3"/>
  <c r="K39" i="3" s="1"/>
  <c r="T36" i="21"/>
  <c r="V36" i="21" s="1"/>
  <c r="B30" i="21" s="1"/>
  <c r="V35" i="21"/>
  <c r="B29" i="21" s="1"/>
  <c r="V37" i="21" l="1"/>
  <c r="N52" i="20" l="1"/>
  <c r="N51" i="20"/>
  <c r="N50" i="20"/>
  <c r="N49" i="20"/>
  <c r="N48" i="20"/>
  <c r="N47" i="20"/>
  <c r="N46" i="20"/>
  <c r="N45" i="20"/>
  <c r="N44" i="20"/>
  <c r="N43" i="20"/>
  <c r="N42" i="20"/>
  <c r="N41" i="20"/>
  <c r="N40" i="20"/>
  <c r="N39" i="20"/>
  <c r="N38" i="20"/>
  <c r="N37" i="20"/>
  <c r="N36" i="20"/>
  <c r="N35" i="20"/>
  <c r="N34" i="20"/>
  <c r="N33" i="20"/>
  <c r="M52" i="20"/>
  <c r="M51" i="20"/>
  <c r="M50" i="20"/>
  <c r="M49" i="20"/>
  <c r="M48" i="20"/>
  <c r="M47" i="20"/>
  <c r="M46" i="20"/>
  <c r="M45" i="20"/>
  <c r="M44" i="20"/>
  <c r="M43" i="20"/>
  <c r="M42" i="20"/>
  <c r="M41" i="20"/>
  <c r="M40" i="20"/>
  <c r="M39" i="20"/>
  <c r="M38" i="20"/>
  <c r="M37" i="20"/>
  <c r="M36" i="20"/>
  <c r="M35" i="20"/>
  <c r="M34" i="20"/>
  <c r="M33" i="20"/>
  <c r="L52" i="20"/>
  <c r="L51" i="20"/>
  <c r="L50" i="20"/>
  <c r="L49" i="20"/>
  <c r="L48" i="20"/>
  <c r="L47" i="20"/>
  <c r="L46" i="20"/>
  <c r="L45" i="20"/>
  <c r="L44" i="20"/>
  <c r="L43" i="20"/>
  <c r="L42" i="20"/>
  <c r="L41" i="20"/>
  <c r="L40" i="20"/>
  <c r="L39" i="20"/>
  <c r="L38" i="20"/>
  <c r="L37" i="20"/>
  <c r="L36" i="20"/>
  <c r="L35" i="20"/>
  <c r="L34" i="20"/>
  <c r="L33" i="20"/>
  <c r="K52" i="20"/>
  <c r="K51" i="20"/>
  <c r="K50" i="20"/>
  <c r="K49" i="20"/>
  <c r="K48" i="20"/>
  <c r="K47" i="20"/>
  <c r="K46" i="20"/>
  <c r="K45" i="20"/>
  <c r="K44" i="20"/>
  <c r="K43" i="20"/>
  <c r="K42" i="20"/>
  <c r="K41" i="20"/>
  <c r="K40" i="20"/>
  <c r="K39" i="20"/>
  <c r="K38" i="20"/>
  <c r="K37" i="20"/>
  <c r="K36" i="20"/>
  <c r="K35" i="20"/>
  <c r="K34" i="20"/>
  <c r="K33" i="20"/>
  <c r="H52" i="20"/>
  <c r="H51" i="20"/>
  <c r="H50" i="20"/>
  <c r="H49" i="20"/>
  <c r="H48" i="20"/>
  <c r="H47" i="20"/>
  <c r="H46" i="20"/>
  <c r="H45" i="20"/>
  <c r="H44" i="20"/>
  <c r="H43" i="20"/>
  <c r="H42" i="20"/>
  <c r="H41" i="20"/>
  <c r="H40" i="20"/>
  <c r="H39" i="20"/>
  <c r="H38" i="20"/>
  <c r="H37" i="20"/>
  <c r="H36" i="20"/>
  <c r="H35" i="20"/>
  <c r="H34" i="20"/>
  <c r="H33" i="20"/>
  <c r="G52" i="20"/>
  <c r="G51" i="20"/>
  <c r="G50" i="20"/>
  <c r="G49" i="20"/>
  <c r="G48" i="20"/>
  <c r="G47" i="20"/>
  <c r="G46" i="20"/>
  <c r="G45" i="20"/>
  <c r="G44" i="20"/>
  <c r="G43" i="20"/>
  <c r="G42" i="20"/>
  <c r="G41" i="20"/>
  <c r="G40" i="20"/>
  <c r="G39" i="20"/>
  <c r="G38" i="20"/>
  <c r="G37" i="20"/>
  <c r="G36" i="20"/>
  <c r="G35" i="20"/>
  <c r="G34" i="20"/>
  <c r="G33" i="20"/>
  <c r="U84" i="31" l="1"/>
  <c r="U83" i="31"/>
  <c r="U82" i="31"/>
  <c r="U81" i="31"/>
  <c r="U80" i="31"/>
  <c r="U79" i="31"/>
  <c r="U78" i="31"/>
  <c r="U77" i="31"/>
  <c r="U76" i="31"/>
  <c r="U75" i="31"/>
  <c r="U74" i="31"/>
  <c r="U73" i="31"/>
  <c r="U72" i="31"/>
  <c r="U71" i="31"/>
  <c r="U70" i="31"/>
  <c r="U69" i="31"/>
  <c r="U68" i="31"/>
  <c r="U67" i="31"/>
  <c r="U66" i="31"/>
  <c r="U65" i="31"/>
  <c r="U64" i="31"/>
  <c r="U63" i="31"/>
  <c r="U62" i="31"/>
  <c r="U61" i="31"/>
  <c r="U60" i="31"/>
  <c r="U59" i="31"/>
  <c r="U58" i="31"/>
  <c r="U57" i="31"/>
  <c r="U56" i="31"/>
  <c r="T84" i="31"/>
  <c r="T83" i="31"/>
  <c r="T82" i="31"/>
  <c r="T81" i="31"/>
  <c r="T80" i="31"/>
  <c r="T79" i="31"/>
  <c r="T78" i="31"/>
  <c r="T77" i="31"/>
  <c r="T76" i="31"/>
  <c r="T75" i="31"/>
  <c r="T74" i="31"/>
  <c r="T73" i="31"/>
  <c r="T72" i="31"/>
  <c r="T71" i="31"/>
  <c r="T70" i="31"/>
  <c r="T69" i="31"/>
  <c r="T68" i="31"/>
  <c r="T67" i="31"/>
  <c r="T66" i="31"/>
  <c r="T65" i="31"/>
  <c r="T64" i="31"/>
  <c r="T63" i="31"/>
  <c r="T62" i="31"/>
  <c r="T61" i="31"/>
  <c r="T60" i="31"/>
  <c r="T59" i="31"/>
  <c r="T58" i="31"/>
  <c r="T57" i="31"/>
  <c r="T56" i="31"/>
  <c r="S84" i="31"/>
  <c r="S83" i="31"/>
  <c r="S82" i="31"/>
  <c r="S81" i="31"/>
  <c r="S80" i="31"/>
  <c r="S79" i="31"/>
  <c r="S78" i="31"/>
  <c r="S77" i="31"/>
  <c r="S76" i="31"/>
  <c r="S75" i="31"/>
  <c r="S74" i="31"/>
  <c r="S73" i="31"/>
  <c r="S72" i="31"/>
  <c r="S71" i="31"/>
  <c r="S70" i="31"/>
  <c r="S69" i="31"/>
  <c r="S68" i="31"/>
  <c r="S67" i="31"/>
  <c r="S66" i="31"/>
  <c r="S65" i="31"/>
  <c r="S64" i="31"/>
  <c r="S63" i="31"/>
  <c r="S62" i="31"/>
  <c r="S61" i="31"/>
  <c r="S60" i="31"/>
  <c r="S59" i="31"/>
  <c r="S58" i="31"/>
  <c r="S57" i="31"/>
  <c r="S56" i="31"/>
  <c r="U52" i="31"/>
  <c r="U51" i="31"/>
  <c r="U50" i="31"/>
  <c r="U49" i="31"/>
  <c r="U48" i="31"/>
  <c r="U47" i="31"/>
  <c r="U46" i="31"/>
  <c r="U45" i="31"/>
  <c r="U44" i="31"/>
  <c r="U43" i="31"/>
  <c r="U42" i="31"/>
  <c r="U41" i="31"/>
  <c r="U40" i="31"/>
  <c r="U39" i="31"/>
  <c r="U38" i="31"/>
  <c r="U37" i="31"/>
  <c r="U36" i="31"/>
  <c r="U35" i="31"/>
  <c r="U34" i="31"/>
  <c r="U33" i="31"/>
  <c r="U32" i="31"/>
  <c r="U31" i="31"/>
  <c r="U30" i="31"/>
  <c r="U29" i="31"/>
  <c r="U28" i="31"/>
  <c r="U27" i="31"/>
  <c r="U26" i="31"/>
  <c r="U25" i="31"/>
  <c r="U24" i="31"/>
  <c r="T52" i="31"/>
  <c r="T51" i="31"/>
  <c r="T50" i="31"/>
  <c r="T49" i="31"/>
  <c r="T48" i="31"/>
  <c r="T47" i="31"/>
  <c r="T46" i="31"/>
  <c r="T45" i="31"/>
  <c r="T44" i="31"/>
  <c r="T43" i="31"/>
  <c r="T42" i="31"/>
  <c r="T41" i="31"/>
  <c r="T40" i="31"/>
  <c r="T39" i="31"/>
  <c r="T38" i="31"/>
  <c r="T37" i="31"/>
  <c r="T36" i="31"/>
  <c r="T35" i="31"/>
  <c r="T34" i="31"/>
  <c r="T33" i="31"/>
  <c r="T32" i="31"/>
  <c r="T31" i="31"/>
  <c r="T30" i="31"/>
  <c r="T29" i="31"/>
  <c r="T28" i="31"/>
  <c r="T27" i="31"/>
  <c r="T26" i="31"/>
  <c r="T25" i="31"/>
  <c r="T24" i="31"/>
  <c r="S52" i="31"/>
  <c r="S51" i="31"/>
  <c r="S50" i="31"/>
  <c r="S49" i="31"/>
  <c r="S48" i="31"/>
  <c r="S47" i="31"/>
  <c r="S46" i="31"/>
  <c r="S45" i="31"/>
  <c r="S44" i="31"/>
  <c r="S43" i="31"/>
  <c r="S42" i="31"/>
  <c r="S41" i="31"/>
  <c r="S40" i="31"/>
  <c r="S39" i="31"/>
  <c r="S38" i="31"/>
  <c r="S37" i="31"/>
  <c r="S36" i="31"/>
  <c r="S35" i="31"/>
  <c r="S34" i="31"/>
  <c r="S33" i="31"/>
  <c r="S32" i="31"/>
  <c r="S31" i="31"/>
  <c r="S30" i="31"/>
  <c r="S29" i="31"/>
  <c r="S28" i="31"/>
  <c r="S27" i="31"/>
  <c r="S26" i="31"/>
  <c r="S25" i="31"/>
  <c r="S24" i="31"/>
  <c r="F19" i="31"/>
  <c r="E19" i="31"/>
  <c r="F18" i="31"/>
  <c r="F17" i="31"/>
  <c r="F16" i="31"/>
  <c r="F15" i="31"/>
  <c r="E12" i="31"/>
  <c r="F12" i="31" s="1"/>
  <c r="F11" i="31"/>
  <c r="F10" i="31"/>
  <c r="F9" i="31"/>
  <c r="F8" i="31"/>
  <c r="X79" i="20"/>
  <c r="X78" i="20"/>
  <c r="AB68" i="20"/>
  <c r="AB69" i="20" s="1"/>
  <c r="AB70" i="20" s="1"/>
  <c r="AB71" i="20" s="1"/>
  <c r="AB72" i="20" s="1"/>
  <c r="AB73" i="20" s="1"/>
  <c r="AB74" i="20" s="1"/>
  <c r="AB75" i="20" s="1"/>
  <c r="AB76" i="20" s="1"/>
  <c r="AB77" i="20" s="1"/>
  <c r="AB78" i="20" s="1"/>
  <c r="AB79" i="20" s="1"/>
  <c r="AB80" i="20" s="1"/>
  <c r="AB81" i="20" s="1"/>
  <c r="AB82" i="20" s="1"/>
  <c r="AB83" i="20" s="1"/>
  <c r="AB84" i="20" s="1"/>
  <c r="AB85" i="20" s="1"/>
  <c r="AB86" i="20" s="1"/>
  <c r="AB87" i="20" s="1"/>
  <c r="AB88" i="20" s="1"/>
  <c r="AB89" i="20" s="1"/>
  <c r="AB90" i="20" s="1"/>
  <c r="AB91" i="20" s="1"/>
  <c r="AB92" i="20" s="1"/>
  <c r="AB93" i="20" s="1"/>
  <c r="AB94" i="20" s="1"/>
  <c r="AA68" i="20"/>
  <c r="AA69" i="20" s="1"/>
  <c r="AC67" i="20"/>
  <c r="AB36" i="20"/>
  <c r="AB37" i="20" s="1"/>
  <c r="AB38" i="20" s="1"/>
  <c r="AB39" i="20" s="1"/>
  <c r="AB40" i="20" s="1"/>
  <c r="AB41" i="20" s="1"/>
  <c r="AB42" i="20" s="1"/>
  <c r="AB43" i="20" s="1"/>
  <c r="AB44" i="20" s="1"/>
  <c r="AB45" i="20" s="1"/>
  <c r="AB46" i="20" s="1"/>
  <c r="AB47" i="20" s="1"/>
  <c r="AB48" i="20" s="1"/>
  <c r="AB49" i="20" s="1"/>
  <c r="AB50" i="20" s="1"/>
  <c r="AB51" i="20" s="1"/>
  <c r="AB52" i="20" s="1"/>
  <c r="AB53" i="20" s="1"/>
  <c r="AB54" i="20" s="1"/>
  <c r="AB55" i="20" s="1"/>
  <c r="AB56" i="20" s="1"/>
  <c r="AB57" i="20" s="1"/>
  <c r="AB58" i="20" s="1"/>
  <c r="AB59" i="20" s="1"/>
  <c r="AB60" i="20" s="1"/>
  <c r="AB61" i="20" s="1"/>
  <c r="AB62" i="20" s="1"/>
  <c r="AA36" i="20"/>
  <c r="AA37" i="20" s="1"/>
  <c r="AC35" i="20"/>
  <c r="H66" i="32"/>
  <c r="H65" i="32"/>
  <c r="M55" i="32"/>
  <c r="M56" i="32" s="1"/>
  <c r="M57" i="32" s="1"/>
  <c r="M58" i="32" s="1"/>
  <c r="M59" i="32" s="1"/>
  <c r="M60" i="32" s="1"/>
  <c r="M61" i="32" s="1"/>
  <c r="M62" i="32" s="1"/>
  <c r="M63" i="32" s="1"/>
  <c r="M64" i="32" s="1"/>
  <c r="M65" i="32" s="1"/>
  <c r="M66" i="32" s="1"/>
  <c r="M67" i="32" s="1"/>
  <c r="M68" i="32" s="1"/>
  <c r="M69" i="32" s="1"/>
  <c r="M70" i="32" s="1"/>
  <c r="M71" i="32" s="1"/>
  <c r="M72" i="32" s="1"/>
  <c r="M73" i="32" s="1"/>
  <c r="M74" i="32" s="1"/>
  <c r="M75" i="32" s="1"/>
  <c r="M76" i="32" s="1"/>
  <c r="M77" i="32" s="1"/>
  <c r="M78" i="32" s="1"/>
  <c r="M79" i="32" s="1"/>
  <c r="M80" i="32" s="1"/>
  <c r="M81" i="32" s="1"/>
  <c r="L55" i="32"/>
  <c r="L56" i="32" s="1"/>
  <c r="N54" i="32"/>
  <c r="M23" i="32"/>
  <c r="M24" i="32" s="1"/>
  <c r="M25" i="32" s="1"/>
  <c r="M26" i="32" s="1"/>
  <c r="M27" i="32" s="1"/>
  <c r="M28" i="32" s="1"/>
  <c r="M29" i="32" s="1"/>
  <c r="M30" i="32" s="1"/>
  <c r="M31" i="32" s="1"/>
  <c r="M32" i="32" s="1"/>
  <c r="M33" i="32" s="1"/>
  <c r="M34" i="32" s="1"/>
  <c r="M35" i="32" s="1"/>
  <c r="M36" i="32" s="1"/>
  <c r="M37" i="32" s="1"/>
  <c r="M38" i="32" s="1"/>
  <c r="M39" i="32" s="1"/>
  <c r="M40" i="32" s="1"/>
  <c r="M41" i="32" s="1"/>
  <c r="M42" i="32" s="1"/>
  <c r="M43" i="32" s="1"/>
  <c r="M44" i="32" s="1"/>
  <c r="M45" i="32" s="1"/>
  <c r="M46" i="32" s="1"/>
  <c r="M47" i="32" s="1"/>
  <c r="M48" i="32" s="1"/>
  <c r="M49" i="32" s="1"/>
  <c r="L23" i="32"/>
  <c r="L24" i="32" s="1"/>
  <c r="N22" i="32"/>
  <c r="D16" i="23"/>
  <c r="D15" i="23"/>
  <c r="D14" i="23"/>
  <c r="D13" i="23"/>
  <c r="D12" i="23"/>
  <c r="E36" i="11"/>
  <c r="H36" i="11"/>
  <c r="L36" i="11"/>
  <c r="M36" i="11"/>
  <c r="N36" i="11"/>
  <c r="O36" i="11"/>
  <c r="D11" i="23"/>
  <c r="AA38" i="20" l="1"/>
  <c r="AC37" i="20"/>
  <c r="AA70" i="20"/>
  <c r="AC69" i="20"/>
  <c r="AC36" i="20"/>
  <c r="AC68" i="20"/>
  <c r="L25" i="32"/>
  <c r="N24" i="32"/>
  <c r="L57" i="32"/>
  <c r="N56" i="32"/>
  <c r="N23" i="32"/>
  <c r="N55" i="32"/>
  <c r="A10" i="1"/>
  <c r="AC70" i="20" l="1"/>
  <c r="AA71" i="20"/>
  <c r="AC38" i="20"/>
  <c r="AA39" i="20"/>
  <c r="N57" i="32"/>
  <c r="P59" i="32" s="1"/>
  <c r="P60" i="32" s="1"/>
  <c r="P61" i="32" s="1"/>
  <c r="P62" i="32" s="1"/>
  <c r="P63" i="32" s="1"/>
  <c r="P64" i="32" s="1"/>
  <c r="P65" i="32" s="1"/>
  <c r="P66" i="32" s="1"/>
  <c r="P67" i="32" s="1"/>
  <c r="P68" i="32" s="1"/>
  <c r="P69" i="32" s="1"/>
  <c r="P70" i="32" s="1"/>
  <c r="P71" i="32" s="1"/>
  <c r="P72" i="32" s="1"/>
  <c r="P73" i="32" s="1"/>
  <c r="P74" i="32" s="1"/>
  <c r="P75" i="32" s="1"/>
  <c r="P76" i="32" s="1"/>
  <c r="P77" i="32" s="1"/>
  <c r="P78" i="32" s="1"/>
  <c r="P79" i="32" s="1"/>
  <c r="P80" i="32" s="1"/>
  <c r="P81" i="32" s="1"/>
  <c r="L58" i="32"/>
  <c r="N25" i="32"/>
  <c r="L26" i="32"/>
  <c r="D17" i="23"/>
  <c r="A11" i="22"/>
  <c r="A10" i="22"/>
  <c r="B18" i="33"/>
  <c r="B19" i="33"/>
  <c r="B20" i="33"/>
  <c r="B13" i="33"/>
  <c r="B14" i="33"/>
  <c r="B15" i="33"/>
  <c r="B22" i="33"/>
  <c r="B17" i="33"/>
  <c r="B12" i="33"/>
  <c r="B16" i="3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6" i="11"/>
  <c r="A9" i="35"/>
  <c r="B9" i="35"/>
  <c r="C9" i="35"/>
  <c r="D9" i="35"/>
  <c r="A10" i="35"/>
  <c r="B10" i="35"/>
  <c r="C10" i="35"/>
  <c r="D10" i="35"/>
  <c r="A11" i="35"/>
  <c r="B11" i="35"/>
  <c r="C11" i="35"/>
  <c r="D11" i="35"/>
  <c r="A12" i="35"/>
  <c r="B12" i="35"/>
  <c r="C12" i="35"/>
  <c r="D12" i="35"/>
  <c r="A13" i="35"/>
  <c r="B13" i="35"/>
  <c r="C13" i="35"/>
  <c r="D13" i="35"/>
  <c r="A14" i="35"/>
  <c r="B14" i="35"/>
  <c r="C14" i="35"/>
  <c r="D14" i="35"/>
  <c r="A15" i="35"/>
  <c r="B15" i="35"/>
  <c r="C15" i="35"/>
  <c r="D15" i="35"/>
  <c r="A16" i="35"/>
  <c r="B16" i="35"/>
  <c r="C16" i="35"/>
  <c r="D16" i="35"/>
  <c r="B8" i="35"/>
  <c r="C8" i="35"/>
  <c r="D8" i="35"/>
  <c r="A8" i="35"/>
  <c r="AA40" i="20" l="1"/>
  <c r="AA41" i="20" s="1"/>
  <c r="AA42" i="20" s="1"/>
  <c r="AA43" i="20" s="1"/>
  <c r="AA44" i="20" s="1"/>
  <c r="AA45" i="20" s="1"/>
  <c r="AA46" i="20" s="1"/>
  <c r="AA47" i="20" s="1"/>
  <c r="AA48" i="20" s="1"/>
  <c r="AA49" i="20" s="1"/>
  <c r="AA50" i="20" s="1"/>
  <c r="AA51" i="20" s="1"/>
  <c r="AA52" i="20" s="1"/>
  <c r="AA53" i="20" s="1"/>
  <c r="AA54" i="20" s="1"/>
  <c r="AA55" i="20" s="1"/>
  <c r="AA56" i="20" s="1"/>
  <c r="AA57" i="20" s="1"/>
  <c r="AA58" i="20" s="1"/>
  <c r="AA59" i="20" s="1"/>
  <c r="AA60" i="20" s="1"/>
  <c r="AA61" i="20" s="1"/>
  <c r="AA62" i="20" s="1"/>
  <c r="AC39" i="20"/>
  <c r="AA72" i="20"/>
  <c r="AA73" i="20" s="1"/>
  <c r="AA74" i="20" s="1"/>
  <c r="AA75" i="20" s="1"/>
  <c r="AA76" i="20" s="1"/>
  <c r="AA77" i="20" s="1"/>
  <c r="AA78" i="20" s="1"/>
  <c r="AA79" i="20" s="1"/>
  <c r="AA80" i="20" s="1"/>
  <c r="AA81" i="20" s="1"/>
  <c r="AA82" i="20" s="1"/>
  <c r="AA83" i="20" s="1"/>
  <c r="AA84" i="20" s="1"/>
  <c r="AA85" i="20" s="1"/>
  <c r="AA86" i="20" s="1"/>
  <c r="AA87" i="20" s="1"/>
  <c r="AA88" i="20" s="1"/>
  <c r="AA89" i="20" s="1"/>
  <c r="AA90" i="20" s="1"/>
  <c r="AA91" i="20" s="1"/>
  <c r="AA92" i="20" s="1"/>
  <c r="AA93" i="20" s="1"/>
  <c r="AA94" i="20" s="1"/>
  <c r="AC71" i="20"/>
  <c r="N26" i="32"/>
  <c r="L27" i="32"/>
  <c r="L28" i="32" s="1"/>
  <c r="L29" i="32" s="1"/>
  <c r="L30" i="32" s="1"/>
  <c r="L31" i="32" s="1"/>
  <c r="L32" i="32" s="1"/>
  <c r="L33" i="32" s="1"/>
  <c r="L34" i="32" s="1"/>
  <c r="L35" i="32" s="1"/>
  <c r="L36" i="32" s="1"/>
  <c r="L37" i="32" s="1"/>
  <c r="L38" i="32" s="1"/>
  <c r="L39" i="32" s="1"/>
  <c r="L40" i="32" s="1"/>
  <c r="L41" i="32" s="1"/>
  <c r="L42" i="32" s="1"/>
  <c r="L43" i="32" s="1"/>
  <c r="L44" i="32" s="1"/>
  <c r="L45" i="32" s="1"/>
  <c r="L46" i="32" s="1"/>
  <c r="L47" i="32" s="1"/>
  <c r="L48" i="32" s="1"/>
  <c r="L49" i="32" s="1"/>
  <c r="L59" i="32"/>
  <c r="L60" i="32" s="1"/>
  <c r="L61" i="32" s="1"/>
  <c r="L62" i="32" s="1"/>
  <c r="L63" i="32" s="1"/>
  <c r="L64" i="32" s="1"/>
  <c r="L65" i="32" s="1"/>
  <c r="L66" i="32" s="1"/>
  <c r="L67" i="32" s="1"/>
  <c r="L68" i="32" s="1"/>
  <c r="L69" i="32" s="1"/>
  <c r="L70" i="32" s="1"/>
  <c r="L71" i="32" s="1"/>
  <c r="L72" i="32" s="1"/>
  <c r="L73" i="32" s="1"/>
  <c r="L74" i="32" s="1"/>
  <c r="L75" i="32" s="1"/>
  <c r="L76" i="32" s="1"/>
  <c r="L77" i="32" s="1"/>
  <c r="L78" i="32" s="1"/>
  <c r="L79" i="32" s="1"/>
  <c r="L80" i="32" s="1"/>
  <c r="L81" i="32" s="1"/>
  <c r="N58" i="32"/>
  <c r="O59" i="32" s="1"/>
  <c r="B9" i="22"/>
  <c r="C9" i="22"/>
  <c r="C8" i="22"/>
  <c r="B8" i="22"/>
  <c r="B9" i="33"/>
  <c r="B8" i="33"/>
  <c r="AE72" i="20" l="1"/>
  <c r="AD72" i="20"/>
  <c r="AE40" i="20"/>
  <c r="AE41" i="20" s="1"/>
  <c r="AE42" i="20" s="1"/>
  <c r="AE43" i="20" s="1"/>
  <c r="AE44" i="20" s="1"/>
  <c r="AE45" i="20" s="1"/>
  <c r="AE46" i="20" s="1"/>
  <c r="AE47" i="20" s="1"/>
  <c r="AE48" i="20" s="1"/>
  <c r="AE49" i="20" s="1"/>
  <c r="AE50" i="20" s="1"/>
  <c r="AE51" i="20" s="1"/>
  <c r="AE52" i="20" s="1"/>
  <c r="AE53" i="20" s="1"/>
  <c r="AE54" i="20" s="1"/>
  <c r="AE55" i="20" s="1"/>
  <c r="AE56" i="20" s="1"/>
  <c r="AE57" i="20" s="1"/>
  <c r="AE58" i="20" s="1"/>
  <c r="AE59" i="20" s="1"/>
  <c r="AE60" i="20" s="1"/>
  <c r="AE61" i="20" s="1"/>
  <c r="AE62" i="20" s="1"/>
  <c r="AD40" i="20"/>
  <c r="O60" i="32"/>
  <c r="Q59" i="32"/>
  <c r="P27" i="32"/>
  <c r="P28" i="32" s="1"/>
  <c r="P29" i="32" s="1"/>
  <c r="P30" i="32" s="1"/>
  <c r="P31" i="32" s="1"/>
  <c r="P32" i="32" s="1"/>
  <c r="P33" i="32" s="1"/>
  <c r="P34" i="32" s="1"/>
  <c r="P35" i="32" s="1"/>
  <c r="P36" i="32" s="1"/>
  <c r="P37" i="32" s="1"/>
  <c r="P38" i="32" s="1"/>
  <c r="P39" i="32" s="1"/>
  <c r="P40" i="32" s="1"/>
  <c r="P41" i="32" s="1"/>
  <c r="P42" i="32" s="1"/>
  <c r="P43" i="32" s="1"/>
  <c r="P44" i="32" s="1"/>
  <c r="P45" i="32" s="1"/>
  <c r="P46" i="32" s="1"/>
  <c r="P47" i="32" s="1"/>
  <c r="P48" i="32" s="1"/>
  <c r="P49" i="32" s="1"/>
  <c r="O27" i="32"/>
  <c r="B7" i="31"/>
  <c r="B8" i="32"/>
  <c r="B9" i="32"/>
  <c r="B10" i="32"/>
  <c r="B11" i="32"/>
  <c r="B13" i="32"/>
  <c r="B14" i="32"/>
  <c r="B15" i="32"/>
  <c r="B16" i="32"/>
  <c r="B8" i="31"/>
  <c r="B9" i="31"/>
  <c r="B10" i="31"/>
  <c r="B11" i="31"/>
  <c r="B12" i="31"/>
  <c r="B13" i="31"/>
  <c r="B17" i="31"/>
  <c r="B18" i="31"/>
  <c r="B11" i="28"/>
  <c r="D55" i="33"/>
  <c r="E35" i="11" s="1"/>
  <c r="D54" i="33"/>
  <c r="E34" i="11" s="1"/>
  <c r="D53" i="33"/>
  <c r="E33" i="11" s="1"/>
  <c r="D52" i="33"/>
  <c r="E32" i="11" s="1"/>
  <c r="D51" i="33"/>
  <c r="E31" i="11" s="1"/>
  <c r="D50" i="33"/>
  <c r="E30" i="11" s="1"/>
  <c r="D49" i="33"/>
  <c r="E29" i="11" s="1"/>
  <c r="D48" i="33"/>
  <c r="E28" i="11" s="1"/>
  <c r="D47" i="33"/>
  <c r="E27" i="11" s="1"/>
  <c r="D46" i="33"/>
  <c r="E26" i="11" s="1"/>
  <c r="D45" i="33"/>
  <c r="E25" i="11" s="1"/>
  <c r="D44" i="33"/>
  <c r="E24" i="11" s="1"/>
  <c r="D43" i="33"/>
  <c r="E23" i="11" s="1"/>
  <c r="D42" i="33"/>
  <c r="E22" i="11" s="1"/>
  <c r="D41" i="33"/>
  <c r="E21" i="11" s="1"/>
  <c r="D40" i="33"/>
  <c r="E20" i="11" s="1"/>
  <c r="D39" i="33"/>
  <c r="E19" i="11" s="1"/>
  <c r="D38" i="33"/>
  <c r="E18" i="11" s="1"/>
  <c r="D37" i="33"/>
  <c r="E17" i="11" s="1"/>
  <c r="D36" i="33"/>
  <c r="E16" i="11" s="1"/>
  <c r="D35" i="33"/>
  <c r="E15" i="11" s="1"/>
  <c r="D34" i="33"/>
  <c r="E14" i="11" s="1"/>
  <c r="D33" i="33"/>
  <c r="E13" i="11" s="1"/>
  <c r="D32" i="33"/>
  <c r="E12" i="11" s="1"/>
  <c r="D31" i="33"/>
  <c r="E11" i="11" s="1"/>
  <c r="D30" i="33"/>
  <c r="E10" i="11" s="1"/>
  <c r="D29" i="33"/>
  <c r="E9" i="11" s="1"/>
  <c r="D28" i="33"/>
  <c r="E8" i="11" s="1"/>
  <c r="D27" i="33"/>
  <c r="E7" i="11" s="1"/>
  <c r="D26" i="33"/>
  <c r="E6" i="11" s="1"/>
  <c r="D49" i="32"/>
  <c r="D35" i="11" s="1"/>
  <c r="D48" i="32"/>
  <c r="D34" i="11" s="1"/>
  <c r="D47" i="32"/>
  <c r="D33" i="11" s="1"/>
  <c r="D46" i="32"/>
  <c r="D32" i="11" s="1"/>
  <c r="D45" i="32"/>
  <c r="D31" i="11" s="1"/>
  <c r="D44" i="32"/>
  <c r="D30" i="11" s="1"/>
  <c r="D43" i="32"/>
  <c r="D29" i="11" s="1"/>
  <c r="D42" i="32"/>
  <c r="D28" i="11" s="1"/>
  <c r="D41" i="32"/>
  <c r="D27" i="11" s="1"/>
  <c r="D43" i="31"/>
  <c r="C27" i="11" s="1"/>
  <c r="D44" i="31"/>
  <c r="C28" i="11" s="1"/>
  <c r="D45" i="31"/>
  <c r="C29" i="11" s="1"/>
  <c r="D46" i="31"/>
  <c r="C30" i="11" s="1"/>
  <c r="D47" i="31"/>
  <c r="C31" i="11" s="1"/>
  <c r="D48" i="31"/>
  <c r="C32" i="11" s="1"/>
  <c r="D49" i="31"/>
  <c r="C33" i="11" s="1"/>
  <c r="D50" i="31"/>
  <c r="C34" i="11" s="1"/>
  <c r="D51" i="31"/>
  <c r="C35" i="11" s="1"/>
  <c r="A9" i="2"/>
  <c r="C9" i="2" s="1"/>
  <c r="D8" i="3"/>
  <c r="B6" i="11" s="1"/>
  <c r="D9" i="3"/>
  <c r="B7" i="11" s="1"/>
  <c r="D10" i="3"/>
  <c r="B8" i="11" s="1"/>
  <c r="D11" i="3"/>
  <c r="B9" i="11" s="1"/>
  <c r="D12" i="3"/>
  <c r="B10" i="11" s="1"/>
  <c r="D13" i="3"/>
  <c r="B11" i="11" s="1"/>
  <c r="D14" i="3"/>
  <c r="B12" i="11" s="1"/>
  <c r="D15" i="3"/>
  <c r="B13" i="11" s="1"/>
  <c r="D16" i="3"/>
  <c r="B14" i="11" s="1"/>
  <c r="D17" i="3"/>
  <c r="B15" i="11" s="1"/>
  <c r="D18" i="3"/>
  <c r="B16" i="11" s="1"/>
  <c r="D19" i="3"/>
  <c r="B17" i="11" s="1"/>
  <c r="D20" i="3"/>
  <c r="B18" i="11" s="1"/>
  <c r="D21" i="3"/>
  <c r="B19" i="11" s="1"/>
  <c r="D22" i="3"/>
  <c r="B20" i="11" s="1"/>
  <c r="D23" i="3"/>
  <c r="B21" i="11" s="1"/>
  <c r="D24" i="3"/>
  <c r="B22" i="11" s="1"/>
  <c r="D25" i="3"/>
  <c r="B23" i="11" s="1"/>
  <c r="D26" i="3"/>
  <c r="B24" i="11" s="1"/>
  <c r="D27" i="3"/>
  <c r="B25" i="11" s="1"/>
  <c r="D28" i="3"/>
  <c r="B26" i="11" s="1"/>
  <c r="D29" i="3"/>
  <c r="B27" i="11" s="1"/>
  <c r="D30" i="3"/>
  <c r="B28" i="11" s="1"/>
  <c r="D31" i="3"/>
  <c r="B29" i="11" s="1"/>
  <c r="D32" i="3"/>
  <c r="B30" i="11" s="1"/>
  <c r="D33" i="3"/>
  <c r="B31" i="11" s="1"/>
  <c r="D34" i="3"/>
  <c r="B32" i="11" s="1"/>
  <c r="D35" i="3"/>
  <c r="B33" i="11" s="1"/>
  <c r="D36" i="3"/>
  <c r="B34" i="11" s="1"/>
  <c r="D37" i="3"/>
  <c r="B35" i="11" s="1"/>
  <c r="I22" i="11"/>
  <c r="J22" i="11"/>
  <c r="L22" i="11"/>
  <c r="M22" i="11"/>
  <c r="N22" i="11"/>
  <c r="O22" i="11"/>
  <c r="I23" i="11"/>
  <c r="J23" i="11"/>
  <c r="L23" i="11"/>
  <c r="M23" i="11"/>
  <c r="N23" i="11"/>
  <c r="O23" i="11"/>
  <c r="I24" i="11"/>
  <c r="J24" i="11"/>
  <c r="L24" i="11"/>
  <c r="M24" i="11"/>
  <c r="N24" i="11"/>
  <c r="O24" i="11"/>
  <c r="I25" i="11"/>
  <c r="J25" i="11"/>
  <c r="L25" i="11"/>
  <c r="M25" i="11"/>
  <c r="N25" i="11"/>
  <c r="O25" i="11"/>
  <c r="I26" i="11"/>
  <c r="J26" i="11"/>
  <c r="L26" i="11"/>
  <c r="M26" i="11"/>
  <c r="N26" i="11"/>
  <c r="O26" i="11"/>
  <c r="I27" i="11"/>
  <c r="J27" i="11"/>
  <c r="L27" i="11"/>
  <c r="M27" i="11"/>
  <c r="N27" i="11"/>
  <c r="O27" i="11"/>
  <c r="I28" i="11"/>
  <c r="J28" i="11"/>
  <c r="L28" i="11"/>
  <c r="M28" i="11"/>
  <c r="N28" i="11"/>
  <c r="O28" i="11"/>
  <c r="I29" i="11"/>
  <c r="J29" i="11"/>
  <c r="L29" i="11"/>
  <c r="M29" i="11"/>
  <c r="N29" i="11"/>
  <c r="O29" i="11"/>
  <c r="I30" i="11"/>
  <c r="J30" i="11"/>
  <c r="L30" i="11"/>
  <c r="M30" i="11"/>
  <c r="N30" i="11"/>
  <c r="O30" i="11"/>
  <c r="I31" i="11"/>
  <c r="J31" i="11"/>
  <c r="L31" i="11"/>
  <c r="M31" i="11"/>
  <c r="N31" i="11"/>
  <c r="O31" i="11"/>
  <c r="I32" i="11"/>
  <c r="J32" i="11"/>
  <c r="L32" i="11"/>
  <c r="M32" i="11"/>
  <c r="N32" i="11"/>
  <c r="O32" i="11"/>
  <c r="I33" i="11"/>
  <c r="J33" i="11"/>
  <c r="L33" i="11"/>
  <c r="M33" i="11"/>
  <c r="N33" i="11"/>
  <c r="O33" i="11"/>
  <c r="I34" i="11"/>
  <c r="J34" i="11"/>
  <c r="L34" i="11"/>
  <c r="M34" i="11"/>
  <c r="N34" i="11"/>
  <c r="O34" i="11"/>
  <c r="I35" i="11"/>
  <c r="J35" i="11"/>
  <c r="L35" i="11"/>
  <c r="M35" i="11"/>
  <c r="N35" i="11"/>
  <c r="O35" i="11"/>
  <c r="I7" i="11"/>
  <c r="J7" i="11"/>
  <c r="L7" i="11"/>
  <c r="M7" i="11"/>
  <c r="N7" i="11"/>
  <c r="O7" i="11"/>
  <c r="I8" i="11"/>
  <c r="J8" i="11"/>
  <c r="L8" i="11"/>
  <c r="M8" i="11"/>
  <c r="N8" i="11"/>
  <c r="O8" i="11"/>
  <c r="I9" i="11"/>
  <c r="J9" i="11"/>
  <c r="L9" i="11"/>
  <c r="M9" i="11"/>
  <c r="N9" i="11"/>
  <c r="O9" i="11"/>
  <c r="I10" i="11"/>
  <c r="J10" i="11"/>
  <c r="L10" i="11"/>
  <c r="M10" i="11"/>
  <c r="N10" i="11"/>
  <c r="O10" i="11"/>
  <c r="I11" i="11"/>
  <c r="J11" i="11"/>
  <c r="L11" i="11"/>
  <c r="M11" i="11"/>
  <c r="N11" i="11"/>
  <c r="O11" i="11"/>
  <c r="I12" i="11"/>
  <c r="J12" i="11"/>
  <c r="L12" i="11"/>
  <c r="M12" i="11"/>
  <c r="N12" i="11"/>
  <c r="O12" i="11"/>
  <c r="I13" i="11"/>
  <c r="J13" i="11"/>
  <c r="L13" i="11"/>
  <c r="M13" i="11"/>
  <c r="N13" i="11"/>
  <c r="O13" i="11"/>
  <c r="I14" i="11"/>
  <c r="J14" i="11"/>
  <c r="L14" i="11"/>
  <c r="M14" i="11"/>
  <c r="N14" i="11"/>
  <c r="O14" i="11"/>
  <c r="I15" i="11"/>
  <c r="J15" i="11"/>
  <c r="L15" i="11"/>
  <c r="M15" i="11"/>
  <c r="N15" i="11"/>
  <c r="O15" i="11"/>
  <c r="I16" i="11"/>
  <c r="J16" i="11"/>
  <c r="L16" i="11"/>
  <c r="M16" i="11"/>
  <c r="N16" i="11"/>
  <c r="O16" i="11"/>
  <c r="I17" i="11"/>
  <c r="J17" i="11"/>
  <c r="L17" i="11"/>
  <c r="M17" i="11"/>
  <c r="N17" i="11"/>
  <c r="O17" i="11"/>
  <c r="I18" i="11"/>
  <c r="J18" i="11"/>
  <c r="L18" i="11"/>
  <c r="M18" i="11"/>
  <c r="N18" i="11"/>
  <c r="O18" i="11"/>
  <c r="I19" i="11"/>
  <c r="J19" i="11"/>
  <c r="L19" i="11"/>
  <c r="M19" i="11"/>
  <c r="N19" i="11"/>
  <c r="O19" i="11"/>
  <c r="I20" i="11"/>
  <c r="J20" i="11"/>
  <c r="L20" i="11"/>
  <c r="M20" i="11"/>
  <c r="N20" i="11"/>
  <c r="O20" i="11"/>
  <c r="I21" i="11"/>
  <c r="J21" i="11"/>
  <c r="L21" i="11"/>
  <c r="M21" i="11"/>
  <c r="N21" i="11"/>
  <c r="O21" i="11"/>
  <c r="O5" i="11"/>
  <c r="O6" i="11"/>
  <c r="N5" i="11"/>
  <c r="N6" i="11"/>
  <c r="M5" i="11"/>
  <c r="M6" i="11"/>
  <c r="L5" i="11"/>
  <c r="L6" i="11"/>
  <c r="J6" i="11"/>
  <c r="I6" i="11"/>
  <c r="B36" i="11" l="1"/>
  <c r="I36" i="11"/>
  <c r="C26" i="11"/>
  <c r="D39" i="31"/>
  <c r="C23" i="11" s="1"/>
  <c r="D36" i="31"/>
  <c r="C20" i="11" s="1"/>
  <c r="D26" i="31"/>
  <c r="C10" i="11" s="1"/>
  <c r="D23" i="31"/>
  <c r="C7" i="11" s="1"/>
  <c r="D22" i="31"/>
  <c r="C6" i="11" s="1"/>
  <c r="D41" i="31"/>
  <c r="C25" i="11" s="1"/>
  <c r="D35" i="31"/>
  <c r="C19" i="11" s="1"/>
  <c r="D25" i="31"/>
  <c r="C9" i="11" s="1"/>
  <c r="D24" i="31"/>
  <c r="C8" i="11" s="1"/>
  <c r="D27" i="31"/>
  <c r="C11" i="11" s="1"/>
  <c r="D38" i="31"/>
  <c r="C22" i="11" s="1"/>
  <c r="D28" i="31"/>
  <c r="C12" i="11" s="1"/>
  <c r="D37" i="31"/>
  <c r="C21" i="11" s="1"/>
  <c r="D32" i="31"/>
  <c r="C16" i="11" s="1"/>
  <c r="D40" i="31"/>
  <c r="C24" i="11" s="1"/>
  <c r="D31" i="31"/>
  <c r="C15" i="11" s="1"/>
  <c r="D34" i="31"/>
  <c r="C18" i="11" s="1"/>
  <c r="D29" i="31"/>
  <c r="C13" i="11" s="1"/>
  <c r="D30" i="31"/>
  <c r="C14" i="11" s="1"/>
  <c r="D33" i="31"/>
  <c r="C17" i="11" s="1"/>
  <c r="R59" i="32"/>
  <c r="J36" i="11"/>
  <c r="AF40" i="20"/>
  <c r="AD41" i="20"/>
  <c r="AF72" i="20"/>
  <c r="AE73" i="20"/>
  <c r="AD73" i="20"/>
  <c r="Q27" i="32"/>
  <c r="R27" i="32" s="1"/>
  <c r="D20" i="32" s="1"/>
  <c r="D6" i="11" s="1"/>
  <c r="O28" i="32"/>
  <c r="O61" i="32"/>
  <c r="Q60" i="32"/>
  <c r="R60" i="32" s="1"/>
  <c r="A8" i="26"/>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6" i="11"/>
  <c r="A8" i="25"/>
  <c r="A9" i="25" s="1"/>
  <c r="A10" i="25" s="1"/>
  <c r="A11" i="25" s="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8" i="24"/>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A33" i="24" s="1"/>
  <c r="A34" i="24" s="1"/>
  <c r="A35" i="24" s="1"/>
  <c r="A36" i="24" s="1"/>
  <c r="A37" i="24" s="1"/>
  <c r="A23" i="23"/>
  <c r="A24" i="23" s="1"/>
  <c r="B24" i="23" s="1"/>
  <c r="A11" i="21"/>
  <c r="A12" i="21" s="1"/>
  <c r="A13" i="21" s="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12" i="27"/>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15" i="22"/>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33" i="20"/>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20" i="35"/>
  <c r="A21" i="35" s="1"/>
  <c r="A22" i="35" s="1"/>
  <c r="A23" i="35" s="1"/>
  <c r="A24" i="35" s="1"/>
  <c r="A25" i="35" s="1"/>
  <c r="A26" i="35" s="1"/>
  <c r="A27" i="35" s="1"/>
  <c r="A28" i="35" s="1"/>
  <c r="A29" i="35" s="1"/>
  <c r="A30" i="35" s="1"/>
  <c r="A31" i="35" s="1"/>
  <c r="A32" i="35" s="1"/>
  <c r="A33" i="35" s="1"/>
  <c r="A34" i="35" s="1"/>
  <c r="A35" i="35" s="1"/>
  <c r="A36" i="35" s="1"/>
  <c r="A37" i="35" s="1"/>
  <c r="A38" i="35" s="1"/>
  <c r="A39" i="35" s="1"/>
  <c r="A40" i="35" s="1"/>
  <c r="A41" i="35" s="1"/>
  <c r="A42" i="35" s="1"/>
  <c r="A43" i="35" s="1"/>
  <c r="A44" i="35" s="1"/>
  <c r="A45" i="35" s="1"/>
  <c r="A46" i="35" s="1"/>
  <c r="A47" i="35" s="1"/>
  <c r="A48" i="35" s="1"/>
  <c r="A49" i="35" s="1"/>
  <c r="A26" i="33"/>
  <c r="A27" i="33" s="1"/>
  <c r="A28" i="33" s="1"/>
  <c r="A29" i="33" s="1"/>
  <c r="A30" i="33" s="1"/>
  <c r="A31" i="33" s="1"/>
  <c r="A32" i="33" s="1"/>
  <c r="A33" i="33" s="1"/>
  <c r="A34" i="33" s="1"/>
  <c r="A35" i="33" s="1"/>
  <c r="A36" i="33" s="1"/>
  <c r="A37" i="33" s="1"/>
  <c r="A38" i="33" s="1"/>
  <c r="A39" i="33" s="1"/>
  <c r="A40" i="33" s="1"/>
  <c r="A41" i="33" s="1"/>
  <c r="A42" i="33" s="1"/>
  <c r="A43" i="33" s="1"/>
  <c r="A44" i="33" s="1"/>
  <c r="A45" i="33" s="1"/>
  <c r="A46" i="33" s="1"/>
  <c r="A47" i="33" s="1"/>
  <c r="A48" i="33" s="1"/>
  <c r="A49" i="33" s="1"/>
  <c r="A50" i="33" s="1"/>
  <c r="A51" i="33" s="1"/>
  <c r="A52" i="33" s="1"/>
  <c r="A53" i="33" s="1"/>
  <c r="A54" i="33" s="1"/>
  <c r="A55" i="33" s="1"/>
  <c r="A8" i="3"/>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20" i="32"/>
  <c r="A22" i="3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48" i="31" s="1"/>
  <c r="A49" i="31" s="1"/>
  <c r="A50" i="31" s="1"/>
  <c r="A51" i="31" s="1"/>
  <c r="B41" i="11"/>
  <c r="N37" i="11"/>
  <c r="I37" i="11"/>
  <c r="O37" i="11"/>
  <c r="E37" i="11"/>
  <c r="J37" i="11"/>
  <c r="L37" i="11"/>
  <c r="M37" i="11"/>
  <c r="A21" i="32"/>
  <c r="A22" i="32" s="1"/>
  <c r="A23" i="32" s="1"/>
  <c r="A24" i="32" s="1"/>
  <c r="A25" i="32" s="1"/>
  <c r="A26" i="32" s="1"/>
  <c r="A27" i="32" s="1"/>
  <c r="A28" i="32" s="1"/>
  <c r="A29" i="32" s="1"/>
  <c r="A30" i="32" s="1"/>
  <c r="A31" i="32" s="1"/>
  <c r="A32" i="32" s="1"/>
  <c r="A33" i="32" s="1"/>
  <c r="A34" i="32" s="1"/>
  <c r="A35" i="32" s="1"/>
  <c r="A36" i="32" s="1"/>
  <c r="A37" i="32" s="1"/>
  <c r="A38" i="32" s="1"/>
  <c r="A39" i="32" s="1"/>
  <c r="A40" i="32" s="1"/>
  <c r="A41" i="32" s="1"/>
  <c r="A42" i="32" s="1"/>
  <c r="A43" i="32" s="1"/>
  <c r="A44" i="32" s="1"/>
  <c r="A45" i="32" s="1"/>
  <c r="A46" i="32" s="1"/>
  <c r="A47" i="32" s="1"/>
  <c r="A48" i="32" s="1"/>
  <c r="A49" i="32" s="1"/>
  <c r="A7" i="1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41" i="11"/>
  <c r="A10" i="34"/>
  <c r="A11" i="34" s="1"/>
  <c r="A12" i="34" s="1"/>
  <c r="A13" i="34" s="1"/>
  <c r="A14" i="34" s="1"/>
  <c r="A15" i="34" s="1"/>
  <c r="A16" i="34" s="1"/>
  <c r="A17" i="34" s="1"/>
  <c r="A18" i="34" s="1"/>
  <c r="A19" i="34" s="1"/>
  <c r="A20" i="34" s="1"/>
  <c r="A21" i="34" s="1"/>
  <c r="A22" i="34" s="1"/>
  <c r="A23" i="34" s="1"/>
  <c r="A24" i="34" s="1"/>
  <c r="A25" i="34" s="1"/>
  <c r="A26" i="34" s="1"/>
  <c r="A27" i="34" s="1"/>
  <c r="A28" i="34" s="1"/>
  <c r="A29" i="34" s="1"/>
  <c r="A30" i="34" s="1"/>
  <c r="A31" i="34" s="1"/>
  <c r="A32" i="34" s="1"/>
  <c r="A33" i="34" s="1"/>
  <c r="A34" i="34" s="1"/>
  <c r="A35" i="34" s="1"/>
  <c r="A36" i="34" s="1"/>
  <c r="A37" i="34" s="1"/>
  <c r="A38" i="34" s="1"/>
  <c r="A39" i="34" s="1"/>
  <c r="A10" i="2"/>
  <c r="C10" i="2" s="1"/>
  <c r="B42" i="11" s="1"/>
  <c r="C36" i="11" l="1"/>
  <c r="AE74" i="20"/>
  <c r="AD74" i="20"/>
  <c r="AF73" i="20"/>
  <c r="AD42" i="20"/>
  <c r="AF41" i="20"/>
  <c r="O62" i="32"/>
  <c r="Q61" i="32"/>
  <c r="R61" i="32" s="1"/>
  <c r="Q28" i="32"/>
  <c r="R28" i="32" s="1"/>
  <c r="D21" i="32" s="1"/>
  <c r="D7" i="11" s="1"/>
  <c r="O29" i="32"/>
  <c r="R33" i="20"/>
  <c r="T33" i="20" s="1"/>
  <c r="G6" i="11" s="1"/>
  <c r="B23" i="23"/>
  <c r="B37" i="11"/>
  <c r="C37" i="11"/>
  <c r="H37" i="11"/>
  <c r="A42" i="11"/>
  <c r="A43" i="11" s="1"/>
  <c r="A44" i="11" s="1"/>
  <c r="A45" i="11" s="1"/>
  <c r="A46" i="11" s="1"/>
  <c r="A47" i="11" s="1"/>
  <c r="A48" i="11" s="1"/>
  <c r="A49" i="11" s="1"/>
  <c r="A50" i="11" s="1"/>
  <c r="A51" i="11" s="1"/>
  <c r="A52" i="11" s="1"/>
  <c r="A53" i="11" s="1"/>
  <c r="C41" i="11"/>
  <c r="A25" i="23"/>
  <c r="B25" i="23" s="1"/>
  <c r="Q33" i="20"/>
  <c r="O33" i="20"/>
  <c r="P33" i="20"/>
  <c r="O35" i="20"/>
  <c r="A11" i="2"/>
  <c r="C11" i="2" s="1"/>
  <c r="AE75" i="20" l="1"/>
  <c r="AD75" i="20"/>
  <c r="AF74" i="20"/>
  <c r="AD43" i="20"/>
  <c r="AF42" i="20"/>
  <c r="O30" i="32"/>
  <c r="Q29" i="32"/>
  <c r="R29" i="32" s="1"/>
  <c r="D22" i="32" s="1"/>
  <c r="D8" i="11" s="1"/>
  <c r="O63" i="32"/>
  <c r="Q62" i="32"/>
  <c r="R62" i="32" s="1"/>
  <c r="B43" i="11"/>
  <c r="C43" i="11" s="1"/>
  <c r="C42" i="11"/>
  <c r="A26" i="23"/>
  <c r="B26" i="23" s="1"/>
  <c r="K7" i="11"/>
  <c r="K6" i="11"/>
  <c r="S33" i="20"/>
  <c r="F6" i="11" s="1"/>
  <c r="A12" i="2"/>
  <c r="A13" i="2" s="1"/>
  <c r="Q34" i="20"/>
  <c r="R35" i="20"/>
  <c r="Q35" i="20"/>
  <c r="O34" i="20"/>
  <c r="R34" i="20"/>
  <c r="P34" i="20"/>
  <c r="P35" i="20"/>
  <c r="Q36" i="20"/>
  <c r="A54" i="11"/>
  <c r="C12" i="2" l="1"/>
  <c r="B44" i="11" s="1"/>
  <c r="C44" i="11" s="1"/>
  <c r="AF43" i="20"/>
  <c r="AD44" i="20"/>
  <c r="AF75" i="20"/>
  <c r="AD76" i="20"/>
  <c r="AE76" i="20"/>
  <c r="O64" i="32"/>
  <c r="Q63" i="32"/>
  <c r="R63" i="32" s="1"/>
  <c r="O31" i="32"/>
  <c r="Q30" i="32"/>
  <c r="R30" i="32" s="1"/>
  <c r="D23" i="32" s="1"/>
  <c r="D9" i="11" s="1"/>
  <c r="A27" i="23"/>
  <c r="B27" i="23" s="1"/>
  <c r="P6" i="11"/>
  <c r="S35" i="20"/>
  <c r="F8" i="11" s="1"/>
  <c r="T34" i="20"/>
  <c r="G7" i="11" s="1"/>
  <c r="S34" i="20"/>
  <c r="F7" i="11" s="1"/>
  <c r="T35" i="20"/>
  <c r="G8" i="11" s="1"/>
  <c r="P36" i="20"/>
  <c r="O37" i="20"/>
  <c r="O36" i="20"/>
  <c r="R36" i="20"/>
  <c r="A55" i="11"/>
  <c r="A14" i="2"/>
  <c r="C13" i="2"/>
  <c r="B45" i="11" s="1"/>
  <c r="C45" i="11" s="1"/>
  <c r="AD77" i="20" l="1"/>
  <c r="AE77" i="20"/>
  <c r="AF76" i="20"/>
  <c r="AD45" i="20"/>
  <c r="AF44" i="20"/>
  <c r="Q31" i="32"/>
  <c r="R31" i="32" s="1"/>
  <c r="D24" i="32" s="1"/>
  <c r="D10" i="11" s="1"/>
  <c r="O32" i="32"/>
  <c r="O65" i="32"/>
  <c r="Q64" i="32"/>
  <c r="R64" i="32" s="1"/>
  <c r="Q6" i="11"/>
  <c r="A28" i="23"/>
  <c r="B28" i="23" s="1"/>
  <c r="K8" i="11"/>
  <c r="K9" i="11"/>
  <c r="S36" i="20"/>
  <c r="F9" i="11" s="1"/>
  <c r="P7" i="11"/>
  <c r="Q7" i="11" s="1"/>
  <c r="T36" i="20"/>
  <c r="G9" i="11" s="1"/>
  <c r="O38" i="20"/>
  <c r="Q37" i="20"/>
  <c r="R37" i="20"/>
  <c r="P37" i="20"/>
  <c r="A15" i="2"/>
  <c r="C14" i="2"/>
  <c r="B46" i="11" s="1"/>
  <c r="C46" i="11" s="1"/>
  <c r="AD46" i="20" l="1"/>
  <c r="AF45" i="20"/>
  <c r="AE78" i="20"/>
  <c r="AD78" i="20"/>
  <c r="AF77" i="20"/>
  <c r="Q32" i="32"/>
  <c r="R32" i="32" s="1"/>
  <c r="D25" i="32" s="1"/>
  <c r="D11" i="11" s="1"/>
  <c r="O33" i="32"/>
  <c r="O66" i="32"/>
  <c r="Q65" i="32"/>
  <c r="R65" i="32" s="1"/>
  <c r="P8" i="11"/>
  <c r="A29" i="23"/>
  <c r="B29" i="23" s="1"/>
  <c r="K10" i="11"/>
  <c r="S37" i="20"/>
  <c r="F10" i="11" s="1"/>
  <c r="P39" i="20"/>
  <c r="T37" i="20"/>
  <c r="G10" i="11" s="1"/>
  <c r="P9" i="11"/>
  <c r="Q9" i="11" s="1"/>
  <c r="P38" i="20"/>
  <c r="Q38" i="20"/>
  <c r="R38" i="20"/>
  <c r="A16" i="2"/>
  <c r="C15" i="2"/>
  <c r="B47" i="11" s="1"/>
  <c r="C47" i="11" s="1"/>
  <c r="AE79" i="20" l="1"/>
  <c r="AD79" i="20"/>
  <c r="AF78" i="20"/>
  <c r="AF46" i="20"/>
  <c r="AD47" i="20"/>
  <c r="Q66" i="32"/>
  <c r="R66" i="32" s="1"/>
  <c r="O67" i="32"/>
  <c r="O34" i="32"/>
  <c r="Q33" i="32"/>
  <c r="R33" i="32" s="1"/>
  <c r="D26" i="32" s="1"/>
  <c r="D12" i="11" s="1"/>
  <c r="Q8" i="11"/>
  <c r="A30" i="23"/>
  <c r="B30" i="23" s="1"/>
  <c r="R40" i="20"/>
  <c r="O39" i="20"/>
  <c r="S38" i="20"/>
  <c r="F11" i="11" s="1"/>
  <c r="R39" i="20"/>
  <c r="T39" i="20" s="1"/>
  <c r="G12" i="11" s="1"/>
  <c r="Q39" i="20"/>
  <c r="T38" i="20"/>
  <c r="G11" i="11" s="1"/>
  <c r="P10" i="11"/>
  <c r="Q10" i="11" s="1"/>
  <c r="Q40" i="20"/>
  <c r="A17" i="2"/>
  <c r="C16" i="2"/>
  <c r="B48" i="11" s="1"/>
  <c r="C48" i="11" s="1"/>
  <c r="AF47" i="20" l="1"/>
  <c r="AD48" i="20"/>
  <c r="AD80" i="20"/>
  <c r="AF79" i="20"/>
  <c r="AE80" i="20"/>
  <c r="O35" i="32"/>
  <c r="Q34" i="32"/>
  <c r="R34" i="32" s="1"/>
  <c r="D27" i="32" s="1"/>
  <c r="D13" i="11" s="1"/>
  <c r="O68" i="32"/>
  <c r="Q67" i="32"/>
  <c r="R67" i="32" s="1"/>
  <c r="A31" i="23"/>
  <c r="B31" i="23" s="1"/>
  <c r="K11" i="11"/>
  <c r="P11" i="11" s="1"/>
  <c r="Q11" i="11" s="1"/>
  <c r="K12" i="11"/>
  <c r="P40" i="20"/>
  <c r="O40" i="20"/>
  <c r="S39" i="20"/>
  <c r="F12" i="11" s="1"/>
  <c r="T40" i="20"/>
  <c r="G13" i="11" s="1"/>
  <c r="O41" i="20"/>
  <c r="P41" i="20"/>
  <c r="R41" i="20"/>
  <c r="Q41" i="20"/>
  <c r="A18" i="2"/>
  <c r="C17" i="2"/>
  <c r="B49" i="11" s="1"/>
  <c r="C49" i="11" s="1"/>
  <c r="AE81" i="20" l="1"/>
  <c r="AD81" i="20"/>
  <c r="AF80" i="20"/>
  <c r="AF48" i="20"/>
  <c r="AD49" i="20"/>
  <c r="O69" i="32"/>
  <c r="Q68" i="32"/>
  <c r="R68" i="32" s="1"/>
  <c r="Q35" i="32"/>
  <c r="R35" i="32" s="1"/>
  <c r="D28" i="32" s="1"/>
  <c r="D14" i="11" s="1"/>
  <c r="O36" i="32"/>
  <c r="A32" i="23"/>
  <c r="B32" i="23" s="1"/>
  <c r="P12" i="11"/>
  <c r="Q12" i="11" s="1"/>
  <c r="K13" i="11"/>
  <c r="S40" i="20"/>
  <c r="F13" i="11" s="1"/>
  <c r="T41" i="20"/>
  <c r="G14" i="11" s="1"/>
  <c r="S41" i="20"/>
  <c r="F14" i="11" s="1"/>
  <c r="O42" i="20"/>
  <c r="P42" i="20"/>
  <c r="Q42" i="20"/>
  <c r="R42" i="20"/>
  <c r="A19" i="2"/>
  <c r="C18" i="2"/>
  <c r="B50" i="11" s="1"/>
  <c r="C50" i="11" s="1"/>
  <c r="AF81" i="20" l="1"/>
  <c r="AE82" i="20"/>
  <c r="AD82" i="20"/>
  <c r="AD50" i="20"/>
  <c r="AF49" i="20"/>
  <c r="Q36" i="32"/>
  <c r="R36" i="32" s="1"/>
  <c r="D29" i="32" s="1"/>
  <c r="D15" i="11" s="1"/>
  <c r="O37" i="32"/>
  <c r="O70" i="32"/>
  <c r="Q69" i="32"/>
  <c r="R69" i="32" s="1"/>
  <c r="A33" i="23"/>
  <c r="B33" i="23" s="1"/>
  <c r="K14" i="11"/>
  <c r="P14" i="11" s="1"/>
  <c r="Q14" i="11" s="1"/>
  <c r="P13" i="11"/>
  <c r="Q13" i="11" s="1"/>
  <c r="S42" i="20"/>
  <c r="F15" i="11" s="1"/>
  <c r="T42" i="20"/>
  <c r="G15" i="11" s="1"/>
  <c r="O43" i="20"/>
  <c r="P43" i="20"/>
  <c r="Q43" i="20"/>
  <c r="R43" i="20"/>
  <c r="A20" i="2"/>
  <c r="C19" i="2"/>
  <c r="B51" i="11" s="1"/>
  <c r="C51" i="11" s="1"/>
  <c r="AE83" i="20" l="1"/>
  <c r="AD83" i="20"/>
  <c r="AF82" i="20"/>
  <c r="AF50" i="20"/>
  <c r="AD51" i="20"/>
  <c r="Q70" i="32"/>
  <c r="R70" i="32" s="1"/>
  <c r="O71" i="32"/>
  <c r="Q37" i="32"/>
  <c r="R37" i="32" s="1"/>
  <c r="D30" i="32" s="1"/>
  <c r="D16" i="11" s="1"/>
  <c r="O38" i="32"/>
  <c r="A34" i="23"/>
  <c r="B34" i="23" s="1"/>
  <c r="K15" i="11"/>
  <c r="P15" i="11" s="1"/>
  <c r="Q15" i="11" s="1"/>
  <c r="T43" i="20"/>
  <c r="G16" i="11" s="1"/>
  <c r="S43" i="20"/>
  <c r="F16" i="11" s="1"/>
  <c r="O44" i="20"/>
  <c r="P44" i="20"/>
  <c r="Q44" i="20"/>
  <c r="R44" i="20"/>
  <c r="A21" i="2"/>
  <c r="C20" i="2"/>
  <c r="B52" i="11" s="1"/>
  <c r="C52" i="11" s="1"/>
  <c r="AE84" i="20" l="1"/>
  <c r="AD84" i="20"/>
  <c r="AF83" i="20"/>
  <c r="AD52" i="20"/>
  <c r="AF51" i="20"/>
  <c r="O39" i="32"/>
  <c r="Q38" i="32"/>
  <c r="R38" i="32" s="1"/>
  <c r="D31" i="32" s="1"/>
  <c r="D17" i="11" s="1"/>
  <c r="O72" i="32"/>
  <c r="Q71" i="32"/>
  <c r="R71" i="32" s="1"/>
  <c r="A35" i="23"/>
  <c r="B35" i="23" s="1"/>
  <c r="K16" i="11"/>
  <c r="P16" i="11" s="1"/>
  <c r="Q16" i="11" s="1"/>
  <c r="S44" i="20"/>
  <c r="F17" i="11" s="1"/>
  <c r="T44" i="20"/>
  <c r="G17" i="11" s="1"/>
  <c r="O45" i="20"/>
  <c r="P45" i="20"/>
  <c r="R45" i="20"/>
  <c r="Q45" i="20"/>
  <c r="A22" i="2"/>
  <c r="C21" i="2"/>
  <c r="B53" i="11" s="1"/>
  <c r="C53" i="11" s="1"/>
  <c r="AD53" i="20" l="1"/>
  <c r="AF52" i="20"/>
  <c r="AF84" i="20"/>
  <c r="AD85" i="20"/>
  <c r="AE85" i="20"/>
  <c r="O73" i="32"/>
  <c r="Q72" i="32"/>
  <c r="R72" i="32" s="1"/>
  <c r="Q39" i="32"/>
  <c r="R39" i="32" s="1"/>
  <c r="D32" i="32" s="1"/>
  <c r="D18" i="11" s="1"/>
  <c r="O40" i="32"/>
  <c r="A36" i="23"/>
  <c r="B36" i="23" s="1"/>
  <c r="K17" i="11"/>
  <c r="P17" i="11" s="1"/>
  <c r="Q17" i="11" s="1"/>
  <c r="S45" i="20"/>
  <c r="F18" i="11" s="1"/>
  <c r="T45" i="20"/>
  <c r="G18" i="11" s="1"/>
  <c r="O46" i="20"/>
  <c r="P46" i="20"/>
  <c r="Q46" i="20"/>
  <c r="R46" i="20"/>
  <c r="A23" i="2"/>
  <c r="C23" i="2" s="1"/>
  <c r="C22" i="2"/>
  <c r="B54" i="11" s="1"/>
  <c r="C54" i="11" s="1"/>
  <c r="AD86" i="20" l="1"/>
  <c r="AF85" i="20"/>
  <c r="AE86" i="20"/>
  <c r="AD54" i="20"/>
  <c r="AF53" i="20"/>
  <c r="Q40" i="32"/>
  <c r="R40" i="32" s="1"/>
  <c r="D33" i="32" s="1"/>
  <c r="D19" i="11" s="1"/>
  <c r="O41" i="32"/>
  <c r="Q73" i="32"/>
  <c r="R73" i="32" s="1"/>
  <c r="O74" i="32"/>
  <c r="B55" i="11"/>
  <c r="B11" i="23"/>
  <c r="A37" i="23"/>
  <c r="B37" i="23" s="1"/>
  <c r="K18" i="11"/>
  <c r="P18" i="11" s="1"/>
  <c r="Q18" i="11" s="1"/>
  <c r="S46" i="20"/>
  <c r="F19" i="11" s="1"/>
  <c r="T46" i="20"/>
  <c r="G19" i="11" s="1"/>
  <c r="O47" i="20"/>
  <c r="P47" i="20"/>
  <c r="Q47" i="20"/>
  <c r="R47" i="20"/>
  <c r="AF54" i="20" l="1"/>
  <c r="AD55" i="20"/>
  <c r="AE87" i="20"/>
  <c r="AD87" i="20"/>
  <c r="AF86" i="20"/>
  <c r="Q41" i="32"/>
  <c r="R41" i="32" s="1"/>
  <c r="D34" i="32" s="1"/>
  <c r="D20" i="11" s="1"/>
  <c r="O42" i="32"/>
  <c r="O75" i="32"/>
  <c r="Q74" i="32"/>
  <c r="R74" i="32" s="1"/>
  <c r="C55" i="11"/>
  <c r="C56" i="11" s="1"/>
  <c r="B56" i="11"/>
  <c r="A38" i="23"/>
  <c r="B38" i="23" s="1"/>
  <c r="K19" i="11"/>
  <c r="P19" i="11" s="1"/>
  <c r="Q19" i="11" s="1"/>
  <c r="S47" i="20"/>
  <c r="F20" i="11" s="1"/>
  <c r="T47" i="20"/>
  <c r="G20" i="11" s="1"/>
  <c r="O48" i="20"/>
  <c r="P48" i="20"/>
  <c r="Q48" i="20"/>
  <c r="R48" i="20"/>
  <c r="AE88" i="20" l="1"/>
  <c r="AD88" i="20"/>
  <c r="AF87" i="20"/>
  <c r="AF55" i="20"/>
  <c r="AD56" i="20"/>
  <c r="O76" i="32"/>
  <c r="Q75" i="32"/>
  <c r="R75" i="32" s="1"/>
  <c r="O43" i="32"/>
  <c r="Q42" i="32"/>
  <c r="R42" i="32" s="1"/>
  <c r="D35" i="32" s="1"/>
  <c r="D21" i="11" s="1"/>
  <c r="A39" i="23"/>
  <c r="B39" i="23" s="1"/>
  <c r="K20" i="11"/>
  <c r="P20" i="11" s="1"/>
  <c r="Q20" i="11" s="1"/>
  <c r="T48" i="20"/>
  <c r="G21" i="11" s="1"/>
  <c r="S48" i="20"/>
  <c r="F21" i="11" s="1"/>
  <c r="O49" i="20"/>
  <c r="P49" i="20"/>
  <c r="R49" i="20"/>
  <c r="Q49" i="20"/>
  <c r="AE89" i="20" l="1"/>
  <c r="AD89" i="20"/>
  <c r="AF88" i="20"/>
  <c r="AF56" i="20"/>
  <c r="AD57" i="20"/>
  <c r="Q43" i="32"/>
  <c r="R43" i="32" s="1"/>
  <c r="D36" i="32" s="1"/>
  <c r="D22" i="11" s="1"/>
  <c r="O44" i="32"/>
  <c r="O77" i="32"/>
  <c r="Q76" i="32"/>
  <c r="R76" i="32" s="1"/>
  <c r="A40" i="23"/>
  <c r="B40" i="23" s="1"/>
  <c r="K21" i="11"/>
  <c r="P21" i="11" s="1"/>
  <c r="Q21" i="11" s="1"/>
  <c r="S49" i="20"/>
  <c r="F22" i="11" s="1"/>
  <c r="T49" i="20"/>
  <c r="G22" i="11" s="1"/>
  <c r="O50" i="20"/>
  <c r="P50" i="20"/>
  <c r="Q50" i="20"/>
  <c r="R50" i="20"/>
  <c r="B6" i="30"/>
  <c r="AF89" i="20" l="1"/>
  <c r="AE90" i="20"/>
  <c r="AD90" i="20"/>
  <c r="AD58" i="20"/>
  <c r="AF57" i="20"/>
  <c r="Q77" i="32"/>
  <c r="R77" i="32" s="1"/>
  <c r="O78" i="32"/>
  <c r="Q44" i="32"/>
  <c r="R44" i="32" s="1"/>
  <c r="D37" i="32" s="1"/>
  <c r="D23" i="11" s="1"/>
  <c r="O45" i="32"/>
  <c r="A41" i="23"/>
  <c r="B41" i="23" s="1"/>
  <c r="K22" i="11"/>
  <c r="P22" i="11" s="1"/>
  <c r="Q22" i="11" s="1"/>
  <c r="S50" i="20"/>
  <c r="F23" i="11" s="1"/>
  <c r="T50" i="20"/>
  <c r="G23" i="11" s="1"/>
  <c r="P51" i="20"/>
  <c r="O51" i="20"/>
  <c r="Q51" i="20"/>
  <c r="R51" i="20"/>
  <c r="AD59" i="20" l="1"/>
  <c r="AF58" i="20"/>
  <c r="AE91" i="20"/>
  <c r="AD91" i="20"/>
  <c r="AF90" i="20"/>
  <c r="O46" i="32"/>
  <c r="Q45" i="32"/>
  <c r="R45" i="32" s="1"/>
  <c r="D38" i="32" s="1"/>
  <c r="D24" i="11" s="1"/>
  <c r="O79" i="32"/>
  <c r="Q78" i="32"/>
  <c r="R78" i="32" s="1"/>
  <c r="A42" i="23"/>
  <c r="B42" i="23" s="1"/>
  <c r="K23" i="11"/>
  <c r="P23" i="11" s="1"/>
  <c r="Q23" i="11" s="1"/>
  <c r="S51" i="20"/>
  <c r="F24" i="11" s="1"/>
  <c r="T51" i="20"/>
  <c r="G24" i="11" s="1"/>
  <c r="O52" i="20"/>
  <c r="P52" i="20"/>
  <c r="Q52" i="20"/>
  <c r="R52" i="20"/>
  <c r="AE92" i="20" l="1"/>
  <c r="AD92" i="20"/>
  <c r="AF91" i="20"/>
  <c r="AF59" i="20"/>
  <c r="AD60" i="20"/>
  <c r="O80" i="32"/>
  <c r="Q79" i="32"/>
  <c r="R79" i="32" s="1"/>
  <c r="O47" i="32"/>
  <c r="Q46" i="32"/>
  <c r="R46" i="32" s="1"/>
  <c r="D39" i="32" s="1"/>
  <c r="D25" i="11" s="1"/>
  <c r="A43" i="23"/>
  <c r="B43" i="23" s="1"/>
  <c r="K24" i="11"/>
  <c r="P24" i="11" s="1"/>
  <c r="Q24" i="11" s="1"/>
  <c r="S52" i="20"/>
  <c r="F25" i="11" s="1"/>
  <c r="T52" i="20"/>
  <c r="G25" i="11" s="1"/>
  <c r="P53" i="20"/>
  <c r="R53" i="20"/>
  <c r="Q53" i="20"/>
  <c r="O53" i="20"/>
  <c r="AF60" i="20" l="1"/>
  <c r="AD61" i="20"/>
  <c r="AE93" i="20"/>
  <c r="AD93" i="20"/>
  <c r="AF92" i="20"/>
  <c r="Q47" i="32"/>
  <c r="R47" i="32" s="1"/>
  <c r="D26" i="11" s="1"/>
  <c r="O48" i="32"/>
  <c r="O81" i="32"/>
  <c r="Q81" i="32" s="1"/>
  <c r="R81" i="32" s="1"/>
  <c r="Q80" i="32"/>
  <c r="R80" i="32" s="1"/>
  <c r="A44" i="23"/>
  <c r="B44" i="23" s="1"/>
  <c r="K25" i="11"/>
  <c r="P25" i="11" s="1"/>
  <c r="Q25" i="11" s="1"/>
  <c r="T53" i="20"/>
  <c r="G26" i="11" s="1"/>
  <c r="S53" i="20"/>
  <c r="F26" i="11" s="1"/>
  <c r="O54" i="20"/>
  <c r="P54" i="20"/>
  <c r="Q54" i="20"/>
  <c r="R54" i="20"/>
  <c r="R82" i="32" l="1"/>
  <c r="D36" i="11"/>
  <c r="D37" i="11"/>
  <c r="AF61" i="20"/>
  <c r="AD62" i="20"/>
  <c r="AF62" i="20" s="1"/>
  <c r="AE94" i="20"/>
  <c r="AD94" i="20"/>
  <c r="AF94" i="20" s="1"/>
  <c r="AF93" i="20"/>
  <c r="O49" i="32"/>
  <c r="Q49" i="32" s="1"/>
  <c r="R49" i="32" s="1"/>
  <c r="Q48" i="32"/>
  <c r="R48" i="32" s="1"/>
  <c r="A45" i="23"/>
  <c r="B45" i="23" s="1"/>
  <c r="K26" i="11"/>
  <c r="P26" i="11" s="1"/>
  <c r="Q26" i="11" s="1"/>
  <c r="S54" i="20"/>
  <c r="F27" i="11" s="1"/>
  <c r="T54" i="20"/>
  <c r="G27" i="11" s="1"/>
  <c r="O55" i="20"/>
  <c r="P55" i="20"/>
  <c r="Q55" i="20"/>
  <c r="R55" i="20"/>
  <c r="R50" i="32" l="1"/>
  <c r="A46" i="23"/>
  <c r="B46" i="23" s="1"/>
  <c r="K27" i="11"/>
  <c r="P27" i="11" s="1"/>
  <c r="Q27" i="11" s="1"/>
  <c r="S55" i="20"/>
  <c r="F28" i="11" s="1"/>
  <c r="T55" i="20"/>
  <c r="G28" i="11" s="1"/>
  <c r="O56" i="20"/>
  <c r="P56" i="20"/>
  <c r="Q56" i="20"/>
  <c r="R56" i="20"/>
  <c r="A47" i="23" l="1"/>
  <c r="B47" i="23" s="1"/>
  <c r="K28" i="11"/>
  <c r="P28" i="11" s="1"/>
  <c r="Q28" i="11" s="1"/>
  <c r="T56" i="20"/>
  <c r="G29" i="11" s="1"/>
  <c r="S56" i="20"/>
  <c r="F29" i="11" s="1"/>
  <c r="O57" i="20"/>
  <c r="P57" i="20"/>
  <c r="R57" i="20"/>
  <c r="Q57" i="20"/>
  <c r="A48" i="23" l="1"/>
  <c r="B48" i="23" s="1"/>
  <c r="K29" i="11"/>
  <c r="P29" i="11" s="1"/>
  <c r="Q29" i="11" s="1"/>
  <c r="S57" i="20"/>
  <c r="F30" i="11" s="1"/>
  <c r="T57" i="20"/>
  <c r="G30" i="11" s="1"/>
  <c r="O58" i="20"/>
  <c r="P58" i="20"/>
  <c r="Q58" i="20"/>
  <c r="R58" i="20"/>
  <c r="A49" i="23" l="1"/>
  <c r="B49" i="23" s="1"/>
  <c r="K30" i="11"/>
  <c r="P30" i="11" s="1"/>
  <c r="Q30" i="11" s="1"/>
  <c r="S58" i="20"/>
  <c r="F31" i="11" s="1"/>
  <c r="T58" i="20"/>
  <c r="G31" i="11" s="1"/>
  <c r="O59" i="20"/>
  <c r="P59" i="20"/>
  <c r="Q59" i="20"/>
  <c r="R59" i="20"/>
  <c r="A50" i="23" l="1"/>
  <c r="B50" i="23" s="1"/>
  <c r="K31" i="11"/>
  <c r="P31" i="11" s="1"/>
  <c r="Q31" i="11" s="1"/>
  <c r="S59" i="20"/>
  <c r="F32" i="11" s="1"/>
  <c r="T59" i="20"/>
  <c r="G32" i="11" s="1"/>
  <c r="O60" i="20"/>
  <c r="P60" i="20"/>
  <c r="Q60" i="20"/>
  <c r="R60" i="20"/>
  <c r="A51" i="23" l="1"/>
  <c r="B51" i="23" s="1"/>
  <c r="K32" i="11"/>
  <c r="P32" i="11" s="1"/>
  <c r="Q32" i="11" s="1"/>
  <c r="S60" i="20"/>
  <c r="F33" i="11" s="1"/>
  <c r="T60" i="20"/>
  <c r="G33" i="11" s="1"/>
  <c r="O61" i="20"/>
  <c r="P61" i="20"/>
  <c r="R61" i="20"/>
  <c r="Q61" i="20"/>
  <c r="A52" i="23" l="1"/>
  <c r="B52" i="23" s="1"/>
  <c r="K33" i="11"/>
  <c r="P33" i="11" s="1"/>
  <c r="Q33" i="11" s="1"/>
  <c r="S61" i="20"/>
  <c r="F34" i="11" s="1"/>
  <c r="T61" i="20"/>
  <c r="G34" i="11" s="1"/>
  <c r="O62" i="20"/>
  <c r="P62" i="20"/>
  <c r="Q62" i="20"/>
  <c r="R62" i="20"/>
  <c r="K34" i="11" l="1"/>
  <c r="P34" i="11" s="1"/>
  <c r="Q34" i="11" s="1"/>
  <c r="S62" i="20"/>
  <c r="F35" i="11" s="1"/>
  <c r="T62" i="20"/>
  <c r="G35" i="11" s="1"/>
  <c r="G37" i="11" l="1"/>
  <c r="G36" i="11"/>
  <c r="F37" i="11"/>
  <c r="F36" i="11"/>
  <c r="K35" i="11"/>
  <c r="K37" i="11" l="1"/>
  <c r="K36" i="11"/>
  <c r="P35" i="11"/>
  <c r="P37" i="11" s="1"/>
  <c r="Q35" i="11" l="1"/>
  <c r="Q37" i="11" s="1"/>
  <c r="P36" i="11"/>
  <c r="B5" i="30" l="1"/>
  <c r="B8" i="30" l="1"/>
  <c r="B7" i="30"/>
</calcChain>
</file>

<file path=xl/sharedStrings.xml><?xml version="1.0" encoding="utf-8"?>
<sst xmlns="http://schemas.openxmlformats.org/spreadsheetml/2006/main" count="1024" uniqueCount="545">
  <si>
    <t>Total Discounted Benefits</t>
  </si>
  <si>
    <t>Total Discounted Costs</t>
  </si>
  <si>
    <t>Net Present Value</t>
  </si>
  <si>
    <t>Benefit Cost Ratio</t>
  </si>
  <si>
    <t>Year</t>
  </si>
  <si>
    <t>Capital Cost</t>
  </si>
  <si>
    <t>Discounted Capital Cost</t>
  </si>
  <si>
    <t>Operations and Maintenance</t>
  </si>
  <si>
    <t>Safety</t>
  </si>
  <si>
    <t>Travel Time Savings</t>
  </si>
  <si>
    <t>Vehicle Operating Cost Savings</t>
  </si>
  <si>
    <t>Non-CO2 Emission Reduction</t>
  </si>
  <si>
    <t>CO2 Emission Reduction</t>
  </si>
  <si>
    <t>Health Benefits</t>
  </si>
  <si>
    <t>Amenity Benefits</t>
  </si>
  <si>
    <t>Other Benefit 1</t>
  </si>
  <si>
    <t>Other Benefit 2</t>
  </si>
  <si>
    <t>Other Benefit 3</t>
  </si>
  <si>
    <t>Other Benefit 4</t>
  </si>
  <si>
    <t>Total Benefits</t>
  </si>
  <si>
    <t>Residual Value</t>
  </si>
  <si>
    <t>Total</t>
  </si>
  <si>
    <t>KABCO Level</t>
  </si>
  <si>
    <t>O - No Injury</t>
  </si>
  <si>
    <t>C - Possible Injury</t>
  </si>
  <si>
    <t>B - Non-incapacitating</t>
  </si>
  <si>
    <t>A - Incapacitating</t>
  </si>
  <si>
    <t>K - Killed</t>
  </si>
  <si>
    <t>U - Injured (Severity Unknown)</t>
  </si>
  <si>
    <t>Crash Type</t>
  </si>
  <si>
    <t>Injury Crash</t>
  </si>
  <si>
    <t>Fatal Crash</t>
  </si>
  <si>
    <t>Recommended Hourly Values of Travel Time Savings</t>
  </si>
  <si>
    <t>Category</t>
  </si>
  <si>
    <t>Hourly Value</t>
  </si>
  <si>
    <t>General Travel Time</t>
  </si>
  <si>
    <t>Truck Drivers</t>
  </si>
  <si>
    <t>Bus Drivers</t>
  </si>
  <si>
    <t>Transit Rail Operators</t>
  </si>
  <si>
    <t>Locomotive Engineers</t>
  </si>
  <si>
    <r>
      <t>Personal</t>
    </r>
    <r>
      <rPr>
        <vertAlign val="superscript"/>
        <sz val="11"/>
        <color rgb="FF1F497D"/>
        <rFont val="Times New Roman"/>
        <family val="1"/>
      </rPr>
      <t>1</t>
    </r>
  </si>
  <si>
    <r>
      <t>Business</t>
    </r>
    <r>
      <rPr>
        <vertAlign val="superscript"/>
        <sz val="11"/>
        <color rgb="FF1F497D"/>
        <rFont val="Times New Roman"/>
        <family val="1"/>
      </rPr>
      <t>2</t>
    </r>
  </si>
  <si>
    <r>
      <t>All Purpose</t>
    </r>
    <r>
      <rPr>
        <vertAlign val="superscript"/>
        <sz val="11"/>
        <color rgb="FF1F497D"/>
        <rFont val="Times New Roman"/>
        <family val="1"/>
      </rPr>
      <t>3</t>
    </r>
  </si>
  <si>
    <r>
      <t>Walking, Cycling, Waiting, Standing, and Transfer Time</t>
    </r>
    <r>
      <rPr>
        <vertAlign val="superscript"/>
        <sz val="11"/>
        <color rgb="FF1F497D"/>
        <rFont val="Times New Roman"/>
        <family val="1"/>
      </rPr>
      <t>4</t>
    </r>
  </si>
  <si>
    <r>
      <t>Commercial Vehicle Operators</t>
    </r>
    <r>
      <rPr>
        <vertAlign val="superscript"/>
        <sz val="11"/>
        <color rgb="FF1F497D"/>
        <rFont val="Times New Roman"/>
        <family val="1"/>
      </rPr>
      <t>5</t>
    </r>
  </si>
  <si>
    <t>2)  Weighted average based on a typical distribution of local travel by surface modes (88.2% personal, 11.8% business). Applicants should apply their own distribution of business versus personal travel where such information is available.</t>
  </si>
  <si>
    <t>4)  Should be applied only when actions affect those elements of travel time.</t>
  </si>
  <si>
    <t>5)  Includes only the value of time for the operator, not passengers or freight.</t>
  </si>
  <si>
    <t>Vehicle Type</t>
  </si>
  <si>
    <t>Average Occupancy</t>
  </si>
  <si>
    <t>Passenger Vehicles (Weekday Off-Peak)</t>
  </si>
  <si>
    <t>Passenger Vehicles (Weekend)</t>
  </si>
  <si>
    <t>Passenger Vehicles (All Travel)</t>
  </si>
  <si>
    <r>
      <t>Passenger Vehicles (Weekday Peak)</t>
    </r>
    <r>
      <rPr>
        <vertAlign val="superscript"/>
        <sz val="11"/>
        <color rgb="FF1F497D"/>
        <rFont val="Times New Roman"/>
        <family val="1"/>
      </rPr>
      <t>1</t>
    </r>
  </si>
  <si>
    <t>1) Weekday peak period values calculated for trips starting between 6:00 AM-8:59 AM and 4:00 PM-6:59 PM.</t>
  </si>
  <si>
    <t>1)  Based on an average light duty vehicle and includes operating costs such as gasoline, maintenance, tires, and depreciation (assuming an average of 15,000 miles driven per year). The value omits other ownership costs that are mostly fixed or transfers (insurance, license, registration, taxes, and financing charges).</t>
  </si>
  <si>
    <t>2)  Value includes fuel costs, truck/trailer lease or purchase payments, repair and maintenance, truck insurance premiums, permits and licenses, and tires. The value omits tolls (which are transfers), and driver wages and benefits (which are already included in the value of travel time savings).</t>
  </si>
  <si>
    <t>Emission Type</t>
  </si>
  <si>
    <t>Table A-6: Damage Costs for Emissions per Metric Ton*</t>
  </si>
  <si>
    <t>Table A-7: Inflation Adjustment Values</t>
  </si>
  <si>
    <t>Base Year of Nominal Dollar</t>
  </si>
  <si>
    <t>Table A-8: Pedestrian Facility Improvements Revealed Preference Values</t>
  </si>
  <si>
    <t>Improvement Type</t>
  </si>
  <si>
    <t>Reducing Upslope by 1%</t>
  </si>
  <si>
    <t>Reducing Traffic Volume by 1 Vehicle per Hour (for ADT &lt;55,000)</t>
  </si>
  <si>
    <t>Install Signal for Pedestrian Crossing on Roadway with Volumes ≥13,000 Vehicles per Day</t>
  </si>
  <si>
    <t>1)   These values assume an average walking trip speed of 3.2 miles per hour. For the mile-based benefits, the estimated value per user should be capped at 0.86 miles, the average length of a walking trip in the 2017 National Household Travel Survey, unless the applicant has specific documentation suggesting longer trips or that a trip shorter than 0.86 miles is not feasible on the facility in question. In other words, applicants should not assume all pedestrians travel the full distance of a proposed facility if the facility is longer than 0.86 miles without a clear justification for doing so.</t>
  </si>
  <si>
    <t>2)   Value for sidewalk width expansion applicable for sidewalks up to approximately 31 feet, benefits for expansions beyond this width should be described qualitatively.</t>
  </si>
  <si>
    <t>Table A-9: Cycling Facility Improvement Revealed Preference Values</t>
  </si>
  <si>
    <t>Facility Type</t>
  </si>
  <si>
    <t>Cycling Path with At-Grade Crossings</t>
  </si>
  <si>
    <t>Dedicated Cycling Lane</t>
  </si>
  <si>
    <t>Cycling Boulevard/“Sharrow”</t>
  </si>
  <si>
    <t>Separated Cycle Track</t>
  </si>
  <si>
    <r>
      <t>Cycling Path with no At-Grade Crossings</t>
    </r>
    <r>
      <rPr>
        <vertAlign val="superscript"/>
        <sz val="11"/>
        <color rgb="FF1F497D"/>
        <rFont val="Times New Roman"/>
        <family val="1"/>
      </rPr>
      <t>2</t>
    </r>
  </si>
  <si>
    <t>2) The value for a cycling path with no at-grade intersections is higher due to an assumption of higher average speed of 12.1 miles per hour, resulting in less time on the facility, which lowers journey quality benefits but increases travel time savings.</t>
  </si>
  <si>
    <t>1) Values should only be applied over sections for which a comparable parallel facility is not available, and only applies to miles cycled on the project facility. These values assume an average cycling trip speed of 9.8 miles per hour or, in the case of off-street paths with no at-grade crossings, a free-flow cycling speed of 12.1 miles per hour. The estimated value per cyclist should be capped at 2.38 miles, the average length of a cycling trip in the 2017 National Household Travel Survey, unless the applicant has specific documentation suggesting longer trips or that a trip shorter than 2.38 miles is not feasible on the facility in question. In other words, applicants should not assume all cyclists travel the full distance of a proposed facility if the facility is longer than 2.38 miles without a clear justification for doing so.</t>
  </si>
  <si>
    <r>
      <t>Light Duty Vehicles</t>
    </r>
    <r>
      <rPr>
        <vertAlign val="superscript"/>
        <sz val="11"/>
        <color theme="1"/>
        <rFont val="Times New Roman"/>
        <family val="1"/>
      </rPr>
      <t>1</t>
    </r>
  </si>
  <si>
    <r>
      <t>Commercial Trucks</t>
    </r>
    <r>
      <rPr>
        <vertAlign val="superscript"/>
        <sz val="11"/>
        <color theme="1"/>
        <rFont val="Times New Roman"/>
        <family val="1"/>
      </rPr>
      <t>2</t>
    </r>
  </si>
  <si>
    <r>
      <t>**Applicants should be careful to not apply the PM</t>
    </r>
    <r>
      <rPr>
        <vertAlign val="subscript"/>
        <sz val="11"/>
        <color rgb="FF1F497D"/>
        <rFont val="Times New Roman"/>
        <family val="1"/>
      </rPr>
      <t>2.5</t>
    </r>
    <r>
      <rPr>
        <sz val="11"/>
        <color rgb="FF1F497D"/>
        <rFont val="Times New Roman"/>
        <family val="1"/>
      </rPr>
      <t xml:space="preserve"> value to estimates of total emissions of PM</t>
    </r>
    <r>
      <rPr>
        <vertAlign val="subscript"/>
        <sz val="11"/>
        <color rgb="FF1F497D"/>
        <rFont val="Times New Roman"/>
        <family val="1"/>
      </rPr>
      <t>10</t>
    </r>
    <r>
      <rPr>
        <sz val="11"/>
        <color rgb="FF1F497D"/>
        <rFont val="Times New Roman"/>
        <family val="1"/>
      </rPr>
      <t>.</t>
    </r>
  </si>
  <si>
    <r>
      <t>Expand Sidewalk (per foot of added width)</t>
    </r>
    <r>
      <rPr>
        <vertAlign val="superscript"/>
        <sz val="11"/>
        <color rgb="FF1F497D"/>
        <rFont val="Times New Roman"/>
        <family val="1"/>
      </rPr>
      <t>2</t>
    </r>
  </si>
  <si>
    <t>Reducing Traffic Speed by 1 mph (for speeds ≤45 mph)</t>
  </si>
  <si>
    <t>Install Marked-Crosswalk on Roadway with Volumes ≥10,000 Vehicle per Day</t>
  </si>
  <si>
    <t>Table A-10: Transit Facility Amenity Revealed and Stated Preference Values</t>
  </si>
  <si>
    <t>Attribute Type</t>
  </si>
  <si>
    <t>Bus</t>
  </si>
  <si>
    <t>Bus Stop</t>
  </si>
  <si>
    <t>Rail Station</t>
  </si>
  <si>
    <t>Light Rail /Streetcar Stop</t>
  </si>
  <si>
    <t>Clocks</t>
  </si>
  <si>
    <t>Electronic Real-Time Information Displays</t>
  </si>
  <si>
    <t>Information /Emergency Button</t>
  </si>
  <si>
    <t>PA System</t>
  </si>
  <si>
    <t>Restroom Availability</t>
  </si>
  <si>
    <t>Retail/Food Outlet Availability</t>
  </si>
  <si>
    <t>Staff Availability</t>
  </si>
  <si>
    <t>Step-Free Access to Station/Stop</t>
  </si>
  <si>
    <t>Step-Free Access to Vehicle</t>
  </si>
  <si>
    <t>Surveillance Cameras</t>
  </si>
  <si>
    <t>Ticket Machines</t>
  </si>
  <si>
    <t>Timetables</t>
  </si>
  <si>
    <t>Bike Facilities</t>
  </si>
  <si>
    <t>*</t>
  </si>
  <si>
    <t>Car Access Facilities</t>
  </si>
  <si>
    <t>Elevator</t>
  </si>
  <si>
    <t>Escalators</t>
  </si>
  <si>
    <t>On-Site Ticket Office</t>
  </si>
  <si>
    <t>Taxi Pickup/Dropoff</t>
  </si>
  <si>
    <r>
      <t>Platform/Stop Seating Availability</t>
    </r>
    <r>
      <rPr>
        <vertAlign val="superscript"/>
        <sz val="11"/>
        <color rgb="FF1F497D"/>
        <rFont val="Times New Roman"/>
        <family val="1"/>
      </rPr>
      <t>1</t>
    </r>
  </si>
  <si>
    <r>
      <t>Platform/Stop Weather Protection</t>
    </r>
    <r>
      <rPr>
        <vertAlign val="superscript"/>
        <sz val="11"/>
        <color rgb="FF1F497D"/>
        <rFont val="Times New Roman"/>
        <family val="1"/>
      </rPr>
      <t>1</t>
    </r>
  </si>
  <si>
    <r>
      <t>Temperature Controlled Environment</t>
    </r>
    <r>
      <rPr>
        <vertAlign val="superscript"/>
        <sz val="11"/>
        <color rgb="FF1F497D"/>
        <rFont val="Times New Roman"/>
        <family val="1"/>
      </rPr>
      <t>1</t>
    </r>
  </si>
  <si>
    <r>
      <t>Waiting Room</t>
    </r>
    <r>
      <rPr>
        <vertAlign val="superscript"/>
        <sz val="11"/>
        <color rgb="FF1F497D"/>
        <rFont val="Times New Roman"/>
        <family val="1"/>
      </rPr>
      <t>1</t>
    </r>
  </si>
  <si>
    <t>1)  Note that seating availability and weather protection refer to seats, canopies, or wind shelters on the platforms themselves, whereas temperature-controlled environment refers to an indoor facility with heating and air conditioning availability. A waiting room refers to a designated indoor environment with seating availability, separate from platform seating, which may or may not be temperature controlled.</t>
  </si>
  <si>
    <t>Table A-11: Transit Vehicle Amenity Values</t>
  </si>
  <si>
    <t>Light Rail /Streetcar</t>
  </si>
  <si>
    <t>Rail</t>
  </si>
  <si>
    <t>Handrails</t>
  </si>
  <si>
    <t>Luggage Storage</t>
  </si>
  <si>
    <t>Temperature Control</t>
  </si>
  <si>
    <t>Wheelchair Space</t>
  </si>
  <si>
    <t>Food Service Availability</t>
  </si>
  <si>
    <t>Table A-12: Transit Mode Ride and Boarding Quality Revealed Preference Values</t>
  </si>
  <si>
    <t>Transit Mode</t>
  </si>
  <si>
    <t>Streetcar or On-Street Light Rail Transit</t>
  </si>
  <si>
    <t>Off-Street Light Rail Transit</t>
  </si>
  <si>
    <t>Heavy Rail</t>
  </si>
  <si>
    <t>Commuter Rail</t>
  </si>
  <si>
    <r>
      <t>Low-Intensive BRT</t>
    </r>
    <r>
      <rPr>
        <vertAlign val="superscript"/>
        <sz val="11"/>
        <color theme="1"/>
        <rFont val="Calibri"/>
        <family val="2"/>
        <scheme val="minor"/>
      </rPr>
      <t>2</t>
    </r>
  </si>
  <si>
    <r>
      <t>Medium-Intensive BRT</t>
    </r>
    <r>
      <rPr>
        <vertAlign val="superscript"/>
        <sz val="11"/>
        <color theme="1"/>
        <rFont val="Calibri"/>
        <family val="2"/>
        <scheme val="minor"/>
      </rPr>
      <t>2</t>
    </r>
  </si>
  <si>
    <r>
      <t>High-Intensive BRT</t>
    </r>
    <r>
      <rPr>
        <vertAlign val="superscript"/>
        <sz val="11"/>
        <color theme="1"/>
        <rFont val="Calibri"/>
        <family val="2"/>
        <scheme val="minor"/>
      </rPr>
      <t>2,3</t>
    </r>
  </si>
  <si>
    <r>
      <t>Ferry</t>
    </r>
    <r>
      <rPr>
        <vertAlign val="superscript"/>
        <sz val="11"/>
        <color theme="1"/>
        <rFont val="Calibri"/>
        <family val="2"/>
        <scheme val="minor"/>
      </rPr>
      <t>3</t>
    </r>
  </si>
  <si>
    <t>1) Values applicable when base case is transit use of standard on-street bus, the reference case used to create these values. When comparing other types of modal shift, the differences between the relevant modal values above should be used.</t>
  </si>
  <si>
    <t>2) Low-intensive BRT would include special service branding, low floor vehicles, at least 50 percent of route in dedicated lanes and potentially shared turns and the remainder in mixed-traffic, some signal priority, level boarding, off-board fare collection, and visually distinct stations. Medium-intensive BRT would include features of Low-intensive BRT but have 100 percent of the route in dedicated lanes, traffic signal priority throughout the corridor, and median-running service or right-turn prohibitions. High-intensive BRT would have a completely sealed right-of-way with no traffic interference and traffic signal preemption, akin to a “rubber-tired railroad.”</t>
  </si>
  <si>
    <t>Table A-13: Mortality Reduction Benefits of Induced Active Transportation Values</t>
  </si>
  <si>
    <t>Table A-14: External Highway Use Costs</t>
  </si>
  <si>
    <t>Mode</t>
  </si>
  <si>
    <r>
      <t>Walking</t>
    </r>
    <r>
      <rPr>
        <vertAlign val="superscript"/>
        <sz val="11"/>
        <color theme="1"/>
        <rFont val="Calibri"/>
        <family val="2"/>
        <scheme val="minor"/>
      </rPr>
      <t>1</t>
    </r>
  </si>
  <si>
    <r>
      <t>Cycling</t>
    </r>
    <r>
      <rPr>
        <vertAlign val="superscript"/>
        <sz val="11"/>
        <color theme="1"/>
        <rFont val="Calibri"/>
        <family val="2"/>
        <scheme val="minor"/>
      </rPr>
      <t>2</t>
    </r>
  </si>
  <si>
    <t>Ages 20-74</t>
  </si>
  <si>
    <t>Ages 20-64</t>
  </si>
  <si>
    <t xml:space="preserve">1)   Based on an assumed average walking speed of 3.2 miles per hour, an assumed average age of the relevant age range (20-74 years) of 45, a corresponding baseline mortality risk of 267.1 per 100,000, an annual risk reduction of 8.6 percent per daily mile walked, and an average walking trip distance of 0.86 miles. </t>
  </si>
  <si>
    <t>2)   Based on an assumed average cycling speed of 9.8 miles per hour, an assumed average age of the relevant age range (20-64 years) of 42, a corresponding baseline mortality risk of 217.9 per 100,000, an annual risk reduction of 4.3 percent per daily mile cycled, and an average cycling trip distance of 2.38 miles.</t>
  </si>
  <si>
    <t>3)   Absent more localized data on the proportion of the expected users falling into the age ranges above, applicants may apply a general assumption of 68% and 59% of overall induced trips falling into the walking and cycling age ranges, respectively, assuming a distribution matching the national average.</t>
  </si>
  <si>
    <t xml:space="preserve">4)   Applicants should ensure these monetization values are only applied to trips induced from non-active transportation modes within the relevant age ranges for each mode. Absent more localized data on the proportion of induced trips coming from non-active transportation modes, applicants may apply a general assumption of 89% of induced trips falling into that category, assuming a distribution matching the national average travel pattern. </t>
  </si>
  <si>
    <t>Vehicle Type and Location</t>
  </si>
  <si>
    <t>Congestion</t>
  </si>
  <si>
    <t>Noise</t>
  </si>
  <si>
    <t>Safety Cost</t>
  </si>
  <si>
    <t>Light-Duty Vehicles - Urban</t>
  </si>
  <si>
    <t>Light-Duty Vehicles - Rural</t>
  </si>
  <si>
    <t>Light-Duty Vehicles – All Locations</t>
  </si>
  <si>
    <t>Buses and Trucks - Urban</t>
  </si>
  <si>
    <t>Buses and Trucks - Rural</t>
  </si>
  <si>
    <t>Buses and Trucks – All Locations</t>
  </si>
  <si>
    <t>All Vehicles - Urban</t>
  </si>
  <si>
    <t>All Vehicles - Rural</t>
  </si>
  <si>
    <t>All Vehicles – All Locations</t>
  </si>
  <si>
    <t>Capital Cost in Year-of-Expenditure Dollars</t>
  </si>
  <si>
    <t>3) The Capital Investment Grant program has to date not completed a before-and-after study of ridership on a ferry project or a high-intensive BRT as described above, and thus does not have a calibrated estimate for the fixedguideway setting for those modes. Thus, these values represent the current best estimates, considering average station and ride quality relative to other transit modes.</t>
  </si>
  <si>
    <t>&lt;- Benefit Name</t>
  </si>
  <si>
    <t>Model Base Year</t>
  </si>
  <si>
    <t>Workspace - Applicants may create new sheets for more space</t>
  </si>
  <si>
    <t>Note that not all projects will have all benefit categories. Conversely, if more categories are needed, applicants may need to add additional columns, but be sure to edit the formula under "Total Benefits" to ensure all benefits are being correctly summed.</t>
  </si>
  <si>
    <t>Net Change in Operations and Maintenance Costs</t>
  </si>
  <si>
    <t>Opening Year</t>
  </si>
  <si>
    <t>Length of Construction/Project Development Period (in Years)</t>
  </si>
  <si>
    <t>Operational Period Length</t>
  </si>
  <si>
    <t>&lt;-Enter a whole number value between 1 and 15, only include project development years after the model base year</t>
  </si>
  <si>
    <t>Safety Benefits</t>
  </si>
  <si>
    <t>Travel Time Benefits</t>
  </si>
  <si>
    <t>Final Analysis Year</t>
  </si>
  <si>
    <t>No Build Operations and Maintenance Costs</t>
  </si>
  <si>
    <t>Build Operations and Maintenance Costs</t>
  </si>
  <si>
    <t>No Build Safety Costs</t>
  </si>
  <si>
    <t>Build Safety Costs</t>
  </si>
  <si>
    <t>No Build Travel Time Costs</t>
  </si>
  <si>
    <t>Build Travel Time Costs</t>
  </si>
  <si>
    <t>No Build Vehicle Operating Costs</t>
  </si>
  <si>
    <t>Build Vehicle Operating Costs</t>
  </si>
  <si>
    <t>Discounted Total</t>
  </si>
  <si>
    <t>Applicants should fill out this sheet first, before moving on to the remainder of the template sheets.</t>
  </si>
  <si>
    <t xml:space="preserve">In this "Capital Costs" sheet,  values should be entered as year-of-expenditure dollars. The template will automatically apply discounting to all costs and benefits for you. </t>
  </si>
  <si>
    <t>Business</t>
  </si>
  <si>
    <t>All Purpose</t>
  </si>
  <si>
    <t>Walking, Cycling, Waiting, Standing, and Transfer Time</t>
  </si>
  <si>
    <t>Commercial Vehicle Operators</t>
  </si>
  <si>
    <t>Personal</t>
  </si>
  <si>
    <t>Pedestrians</t>
  </si>
  <si>
    <t>Cyclists</t>
  </si>
  <si>
    <t>Vehicles</t>
  </si>
  <si>
    <t>Trucks</t>
  </si>
  <si>
    <t>Trains</t>
  </si>
  <si>
    <t>No Build</t>
  </si>
  <si>
    <t>Build</t>
  </si>
  <si>
    <t>[Other Modes]</t>
  </si>
  <si>
    <t>Light Duty Vehicles</t>
  </si>
  <si>
    <t>Commercial Trucks</t>
  </si>
  <si>
    <t>Applicable Age Range</t>
  </si>
  <si>
    <t>Walking</t>
  </si>
  <si>
    <t>Cycling</t>
  </si>
  <si>
    <t>---------------------------------------------------------------------------------------------------------------------------------------------------------------------------------------------------------------</t>
  </si>
  <si>
    <t>-------------------------------------------------------------------------------------------------------------------------------------------------------------------------------------------------------------</t>
  </si>
  <si>
    <t>What You Need</t>
  </si>
  <si>
    <t>Notes</t>
  </si>
  <si>
    <t>Parameter Values</t>
  </si>
  <si>
    <t>-</t>
  </si>
  <si>
    <r>
      <t>Applicable Age Range</t>
    </r>
    <r>
      <rPr>
        <vertAlign val="superscript"/>
        <sz val="11"/>
        <color theme="0"/>
        <rFont val="Calibri"/>
        <family val="2"/>
        <scheme val="minor"/>
      </rPr>
      <t>3</t>
    </r>
  </si>
  <si>
    <r>
      <t>NO</t>
    </r>
    <r>
      <rPr>
        <vertAlign val="subscript"/>
        <sz val="11"/>
        <color theme="0"/>
        <rFont val="Times New Roman"/>
        <family val="1"/>
      </rPr>
      <t>X</t>
    </r>
  </si>
  <si>
    <r>
      <t>SO</t>
    </r>
    <r>
      <rPr>
        <vertAlign val="subscript"/>
        <sz val="11"/>
        <color theme="0"/>
        <rFont val="Times New Roman"/>
        <family val="1"/>
      </rPr>
      <t>X</t>
    </r>
  </si>
  <si>
    <r>
      <t>PM</t>
    </r>
    <r>
      <rPr>
        <vertAlign val="subscript"/>
        <sz val="11"/>
        <color theme="0"/>
        <rFont val="Times New Roman"/>
        <family val="1"/>
      </rPr>
      <t>2.5</t>
    </r>
    <r>
      <rPr>
        <sz val="11"/>
        <color theme="0"/>
        <rFont val="Times New Roman"/>
        <family val="1"/>
      </rPr>
      <t>**</t>
    </r>
  </si>
  <si>
    <r>
      <t>CO</t>
    </r>
    <r>
      <rPr>
        <vertAlign val="subscript"/>
        <sz val="11"/>
        <color theme="0"/>
        <rFont val="Times New Roman"/>
        <family val="1"/>
      </rPr>
      <t>2</t>
    </r>
  </si>
  <si>
    <t>Project Information</t>
  </si>
  <si>
    <t>Table 1. Project Information</t>
  </si>
  <si>
    <t>Variable</t>
  </si>
  <si>
    <t>Value</t>
  </si>
  <si>
    <t>If you do not wish to use this sheet, simply leave the values blank and move on to the next sheet.</t>
  </si>
  <si>
    <t xml:space="preserve">Users are free to use only the necessary columns for their application and/or to add additional columns as necessary. </t>
  </si>
  <si>
    <t>Table 1. BCA Results</t>
  </si>
  <si>
    <t>Table 1. Volumes by Mode</t>
  </si>
  <si>
    <t>Capital Costs</t>
  </si>
  <si>
    <t>Benefit Cost Analysis Results</t>
  </si>
  <si>
    <t>Summary by Benefit Area</t>
  </si>
  <si>
    <t>Operations and Maintenance Costs</t>
  </si>
  <si>
    <t>Vehicle Operating Costs</t>
  </si>
  <si>
    <t>Emissions Reduction</t>
  </si>
  <si>
    <r>
      <t>No Build NO</t>
    </r>
    <r>
      <rPr>
        <vertAlign val="subscript"/>
        <sz val="11"/>
        <color theme="0"/>
        <rFont val="Calibri"/>
        <family val="2"/>
        <scheme val="minor"/>
      </rPr>
      <t>x</t>
    </r>
    <r>
      <rPr>
        <sz val="11"/>
        <color theme="0"/>
        <rFont val="Calibri"/>
        <family val="2"/>
        <scheme val="minor"/>
      </rPr>
      <t xml:space="preserve"> (mt)</t>
    </r>
  </si>
  <si>
    <r>
      <t>Build NO</t>
    </r>
    <r>
      <rPr>
        <vertAlign val="subscript"/>
        <sz val="11"/>
        <color theme="0"/>
        <rFont val="Calibri"/>
        <family val="2"/>
        <scheme val="minor"/>
      </rPr>
      <t>x</t>
    </r>
    <r>
      <rPr>
        <sz val="11"/>
        <color theme="0"/>
        <rFont val="Calibri"/>
        <family val="2"/>
        <scheme val="minor"/>
      </rPr>
      <t xml:space="preserve"> (mt)</t>
    </r>
  </si>
  <si>
    <r>
      <t>No Build SO</t>
    </r>
    <r>
      <rPr>
        <vertAlign val="subscript"/>
        <sz val="11"/>
        <color theme="0"/>
        <rFont val="Calibri"/>
        <family val="2"/>
        <scheme val="minor"/>
      </rPr>
      <t>x</t>
    </r>
    <r>
      <rPr>
        <sz val="11"/>
        <color theme="0"/>
        <rFont val="Calibri"/>
        <family val="2"/>
        <scheme val="minor"/>
      </rPr>
      <t xml:space="preserve"> (mt)</t>
    </r>
  </si>
  <si>
    <r>
      <t>Build SO</t>
    </r>
    <r>
      <rPr>
        <vertAlign val="subscript"/>
        <sz val="11"/>
        <color theme="0"/>
        <rFont val="Calibri"/>
        <family val="2"/>
        <scheme val="minor"/>
      </rPr>
      <t>x</t>
    </r>
    <r>
      <rPr>
        <sz val="11"/>
        <color theme="0"/>
        <rFont val="Calibri"/>
        <family val="2"/>
        <scheme val="minor"/>
      </rPr>
      <t xml:space="preserve"> (mt)</t>
    </r>
  </si>
  <si>
    <r>
      <t>No Build PM</t>
    </r>
    <r>
      <rPr>
        <vertAlign val="subscript"/>
        <sz val="11"/>
        <color theme="0"/>
        <rFont val="Calibri"/>
        <family val="2"/>
        <scheme val="minor"/>
      </rPr>
      <t>2.5</t>
    </r>
    <r>
      <rPr>
        <sz val="11"/>
        <color theme="0"/>
        <rFont val="Calibri"/>
        <family val="2"/>
        <scheme val="minor"/>
      </rPr>
      <t xml:space="preserve"> (mt)</t>
    </r>
  </si>
  <si>
    <r>
      <t>Build PM</t>
    </r>
    <r>
      <rPr>
        <vertAlign val="subscript"/>
        <sz val="11"/>
        <color theme="0"/>
        <rFont val="Calibri"/>
        <family val="2"/>
        <scheme val="minor"/>
      </rPr>
      <t>2.5</t>
    </r>
    <r>
      <rPr>
        <sz val="11"/>
        <color theme="0"/>
        <rFont val="Calibri"/>
        <family val="2"/>
        <scheme val="minor"/>
      </rPr>
      <t xml:space="preserve"> (mt)</t>
    </r>
  </si>
  <si>
    <r>
      <t>No Build CO</t>
    </r>
    <r>
      <rPr>
        <vertAlign val="subscript"/>
        <sz val="11"/>
        <color theme="0"/>
        <rFont val="Calibri"/>
        <family val="2"/>
        <scheme val="minor"/>
      </rPr>
      <t>2</t>
    </r>
    <r>
      <rPr>
        <sz val="11"/>
        <color theme="0"/>
        <rFont val="Calibri"/>
        <family val="2"/>
        <scheme val="minor"/>
      </rPr>
      <t xml:space="preserve"> (mt)</t>
    </r>
  </si>
  <si>
    <r>
      <t>Build CO</t>
    </r>
    <r>
      <rPr>
        <vertAlign val="subscript"/>
        <sz val="11"/>
        <color theme="0"/>
        <rFont val="Calibri"/>
        <family val="2"/>
        <scheme val="minor"/>
      </rPr>
      <t>2</t>
    </r>
    <r>
      <rPr>
        <sz val="11"/>
        <color theme="0"/>
        <rFont val="Calibri"/>
        <family val="2"/>
        <scheme val="minor"/>
      </rPr>
      <t xml:space="preserve"> (mt)</t>
    </r>
  </si>
  <si>
    <r>
      <t>NO</t>
    </r>
    <r>
      <rPr>
        <vertAlign val="subscript"/>
        <sz val="11"/>
        <color theme="0"/>
        <rFont val="Calibri"/>
        <family val="2"/>
        <scheme val="minor"/>
      </rPr>
      <t>x</t>
    </r>
  </si>
  <si>
    <r>
      <t>SO</t>
    </r>
    <r>
      <rPr>
        <vertAlign val="subscript"/>
        <sz val="11"/>
        <color theme="0"/>
        <rFont val="Calibri"/>
        <family val="2"/>
        <scheme val="minor"/>
      </rPr>
      <t>x</t>
    </r>
  </si>
  <si>
    <r>
      <t>PM</t>
    </r>
    <r>
      <rPr>
        <vertAlign val="subscript"/>
        <sz val="11"/>
        <color theme="0"/>
        <rFont val="Calibri"/>
        <family val="2"/>
        <scheme val="minor"/>
      </rPr>
      <t>2.5</t>
    </r>
  </si>
  <si>
    <r>
      <t>CO</t>
    </r>
    <r>
      <rPr>
        <vertAlign val="subscript"/>
        <sz val="11"/>
        <color theme="0"/>
        <rFont val="Calibri"/>
        <family val="2"/>
        <scheme val="minor"/>
      </rPr>
      <t>2</t>
    </r>
  </si>
  <si>
    <r>
      <t>Non-CO</t>
    </r>
    <r>
      <rPr>
        <vertAlign val="subscript"/>
        <sz val="11"/>
        <color theme="0"/>
        <rFont val="Calibri"/>
        <family val="2"/>
        <scheme val="minor"/>
      </rPr>
      <t>2</t>
    </r>
    <r>
      <rPr>
        <sz val="11"/>
        <color theme="0"/>
        <rFont val="Calibri"/>
        <family val="2"/>
        <scheme val="minor"/>
      </rPr>
      <t xml:space="preserve"> Emission Reduction</t>
    </r>
  </si>
  <si>
    <r>
      <t>CO</t>
    </r>
    <r>
      <rPr>
        <vertAlign val="subscript"/>
        <sz val="11"/>
        <color theme="0"/>
        <rFont val="Calibri"/>
        <family val="2"/>
        <scheme val="minor"/>
      </rPr>
      <t>2</t>
    </r>
    <r>
      <rPr>
        <sz val="11"/>
        <color theme="0"/>
        <rFont val="Calibri"/>
        <family val="2"/>
        <scheme val="minor"/>
      </rPr>
      <t xml:space="preserve"> Emission Reduction</t>
    </r>
  </si>
  <si>
    <t>This is an extra benefit sheet for an additional benefit category not captured elsewhere</t>
  </si>
  <si>
    <t xml:space="preserve">Note that if more than four "other benefit" categories are needed, applicants may create a copy of this sheet (and rename accordingly). </t>
  </si>
  <si>
    <t>Additionally, the formulas in the "Total Benefits" column may need to be adjusted to ensure all benefits are being summed correctly.</t>
  </si>
  <si>
    <t>Additionally, the "Summary" sheet will need to be edited to include additional columns for benefits.</t>
  </si>
  <si>
    <t>Table 1. Summary of Benefits</t>
  </si>
  <si>
    <t>Table 2. Summary of Costs</t>
  </si>
  <si>
    <t>Note that not all projects will have benefits in all categories. In such cases, simply leave the input values in that sheet as zeros and move to the next sheet.</t>
  </si>
  <si>
    <t>Table 1. Recommended Monetization Values</t>
  </si>
  <si>
    <t>Table 2. Safety</t>
  </si>
  <si>
    <t>Table 2. Travel Time Savings</t>
  </si>
  <si>
    <t>Table 2. Vehicle Operating Costs</t>
  </si>
  <si>
    <t>Table 2. Amenity Benefits</t>
  </si>
  <si>
    <t>Table 2. Health Benefits</t>
  </si>
  <si>
    <t>Table 1. Other Benefit</t>
  </si>
  <si>
    <t xml:space="preserve">For recommended monetization values, please refer to the Parameter Values tab directly. </t>
  </si>
  <si>
    <t>There are numerous potential values for pedestrian facilities, bicycle facilities, transit vehicles, and transit stations.</t>
  </si>
  <si>
    <t>Table 1. Operations and Maintenance</t>
  </si>
  <si>
    <t>Table 1. Capital Costs</t>
  </si>
  <si>
    <r>
      <t xml:space="preserve">•  	</t>
    </r>
    <r>
      <rPr>
        <b/>
        <sz val="11"/>
        <rFont val="Calibri"/>
        <family val="2"/>
        <scheme val="minor"/>
      </rPr>
      <t xml:space="preserve">Deleting a Tab. </t>
    </r>
    <r>
      <rPr>
        <sz val="11"/>
        <rFont val="Calibri"/>
        <family val="2"/>
        <scheme val="minor"/>
      </rPr>
      <t>Do not delete tabs. If a tab is not needed, simply skip it.</t>
    </r>
  </si>
  <si>
    <t>Avoided Externalities</t>
  </si>
  <si>
    <t>Congestion Cost per VMT</t>
  </si>
  <si>
    <t>Noise Cost per VMT</t>
  </si>
  <si>
    <t>Safety Cost per VMT</t>
  </si>
  <si>
    <t>Table 2. Avoided Externality Benefits</t>
  </si>
  <si>
    <t>Avoided Highway Externality</t>
  </si>
  <si>
    <r>
      <t xml:space="preserve">•  	</t>
    </r>
    <r>
      <rPr>
        <b/>
        <sz val="11"/>
        <rFont val="Calibri"/>
        <family val="2"/>
        <scheme val="minor"/>
      </rPr>
      <t xml:space="preserve">Build vs No Build. </t>
    </r>
    <r>
      <rPr>
        <sz val="11"/>
        <rFont val="Calibri"/>
        <family val="2"/>
        <scheme val="minor"/>
      </rPr>
      <t>If you only have data for the difference between the Build and No Build scenarios, enter this data into the "Build" column and leave the "No Build" values at $0. This will still appropriately estimate the benefit</t>
    </r>
  </si>
  <si>
    <t>&lt;-The BCR will be estimated once capital costs are entered in the 'Capital Cost' sheet</t>
  </si>
  <si>
    <t>Table A-1a: Value of Reduced Fatalities, Injuries, and Crashes</t>
  </si>
  <si>
    <t>PDO Crash</t>
  </si>
  <si>
    <t>Table A-2: Value of Travel Time Savings</t>
  </si>
  <si>
    <t>Table A-3: Average Vehicle Occupancy Rates for Highway Passenger Vehicles</t>
  </si>
  <si>
    <t>Table A-4: Vehicle Operating Costs</t>
  </si>
  <si>
    <t>Table A-5: Train Operating and Social Costs</t>
  </si>
  <si>
    <t>*Applicants should carefully note whether their emissions data is reported in short tons or metric tons. A metric ton is equal to 1.1023 short tons.</t>
  </si>
  <si>
    <t>Train and Movement Type</t>
  </si>
  <si>
    <t>Idling</t>
  </si>
  <si>
    <t>Freight Train</t>
  </si>
  <si>
    <t>Commuter Train</t>
  </si>
  <si>
    <t>Amtrak Long-Distance</t>
  </si>
  <si>
    <t>Amtrak State-Supported</t>
  </si>
  <si>
    <t>Hauling</t>
  </si>
  <si>
    <t>All Movements</t>
  </si>
  <si>
    <t>Freight Railcar</t>
  </si>
  <si>
    <t>Operating Costs</t>
  </si>
  <si>
    <t>1)  Includes fuel cost, depreciation, and labor cost which should be discounted at 3.1 percent.</t>
  </si>
  <si>
    <r>
      <t>Operating Costs</t>
    </r>
    <r>
      <rPr>
        <vertAlign val="superscript"/>
        <sz val="11"/>
        <color theme="0"/>
        <rFont val="Times New Roman"/>
        <family val="1"/>
      </rPr>
      <t>1</t>
    </r>
  </si>
  <si>
    <r>
      <t>Non-CO</t>
    </r>
    <r>
      <rPr>
        <vertAlign val="subscript"/>
        <sz val="11"/>
        <color theme="0"/>
        <rFont val="Times New Roman"/>
        <family val="1"/>
      </rPr>
      <t>2</t>
    </r>
    <r>
      <rPr>
        <sz val="11"/>
        <color theme="0"/>
        <rFont val="Times New Roman"/>
        <family val="1"/>
      </rPr>
      <t xml:space="preserve"> Emission Costs</t>
    </r>
    <r>
      <rPr>
        <vertAlign val="superscript"/>
        <sz val="11"/>
        <color theme="0"/>
        <rFont val="Times New Roman"/>
        <family val="1"/>
      </rPr>
      <t>2</t>
    </r>
  </si>
  <si>
    <r>
      <t>CO</t>
    </r>
    <r>
      <rPr>
        <vertAlign val="subscript"/>
        <sz val="11"/>
        <color theme="0"/>
        <rFont val="Times New Roman"/>
        <family val="1"/>
      </rPr>
      <t>2</t>
    </r>
    <r>
      <rPr>
        <sz val="11"/>
        <color theme="0"/>
        <rFont val="Times New Roman"/>
        <family val="1"/>
      </rPr>
      <t xml:space="preserve"> Costs</t>
    </r>
    <r>
      <rPr>
        <vertAlign val="superscript"/>
        <sz val="11"/>
        <color theme="0"/>
        <rFont val="Times New Roman"/>
        <family val="1"/>
      </rPr>
      <t>2</t>
    </r>
  </si>
  <si>
    <t>2)  Emissions are based on the current diesel-electric locomotive fleet average, and thus the emission values above should not be applied in cases where new locomotives are being acquired or in cases of electrified rail. The monetization applies the 2035-year emission value to approximate increasing emission damage costs over time. Non-CO2 emission costs should be discounted at 3.1 percent and CO2 emission costs should be discounted at 2.0 percent.</t>
  </si>
  <si>
    <r>
      <t>Non-CO</t>
    </r>
    <r>
      <rPr>
        <vertAlign val="subscript"/>
        <sz val="11"/>
        <color theme="0"/>
        <rFont val="Times New Roman"/>
        <family val="1"/>
      </rPr>
      <t>2</t>
    </r>
    <r>
      <rPr>
        <sz val="11"/>
        <color theme="0"/>
        <rFont val="Times New Roman"/>
        <family val="1"/>
      </rPr>
      <t xml:space="preserve"> Emission Cost</t>
    </r>
    <r>
      <rPr>
        <vertAlign val="superscript"/>
        <sz val="11"/>
        <color theme="0"/>
        <rFont val="Times New Roman"/>
        <family val="1"/>
      </rPr>
      <t>2</t>
    </r>
  </si>
  <si>
    <r>
      <t>CO</t>
    </r>
    <r>
      <rPr>
        <vertAlign val="subscript"/>
        <sz val="11"/>
        <color theme="0"/>
        <rFont val="Times New Roman"/>
        <family val="1"/>
      </rPr>
      <t>2</t>
    </r>
    <r>
      <rPr>
        <sz val="11"/>
        <color theme="0"/>
        <rFont val="Times New Roman"/>
        <family val="1"/>
      </rPr>
      <t xml:space="preserve"> Emission Cost</t>
    </r>
    <r>
      <rPr>
        <vertAlign val="superscript"/>
        <sz val="11"/>
        <color theme="0"/>
        <rFont val="Times New Roman"/>
        <family val="1"/>
      </rPr>
      <t>2</t>
    </r>
  </si>
  <si>
    <t>2)   Emission rates are based on estimates from EPA’s MOVES Model. The monetization applies the 2035-year emission value to approximate increasing emission damage costs over time. Non-CO2 emission damages should be discounted at 3.1 percent, while CO2 emission damages should be discounted at 2.0 percent.</t>
  </si>
  <si>
    <r>
      <t>No Build Non-CO</t>
    </r>
    <r>
      <rPr>
        <vertAlign val="subscript"/>
        <sz val="11"/>
        <color theme="0"/>
        <rFont val="Calibri"/>
        <family val="2"/>
        <scheme val="minor"/>
      </rPr>
      <t>2</t>
    </r>
    <r>
      <rPr>
        <sz val="11"/>
        <color theme="0"/>
        <rFont val="Calibri"/>
        <family val="2"/>
        <scheme val="minor"/>
      </rPr>
      <t xml:space="preserve"> Emission Costs ($)</t>
    </r>
  </si>
  <si>
    <r>
      <t>Build Non-CO</t>
    </r>
    <r>
      <rPr>
        <vertAlign val="subscript"/>
        <sz val="11"/>
        <color theme="0"/>
        <rFont val="Calibri"/>
        <family val="2"/>
        <scheme val="minor"/>
      </rPr>
      <t>2</t>
    </r>
    <r>
      <rPr>
        <sz val="11"/>
        <color theme="0"/>
        <rFont val="Calibri"/>
        <family val="2"/>
        <scheme val="minor"/>
      </rPr>
      <t xml:space="preserve"> Emission Costs ($)</t>
    </r>
  </si>
  <si>
    <r>
      <t>No Build CO</t>
    </r>
    <r>
      <rPr>
        <vertAlign val="subscript"/>
        <sz val="11"/>
        <color theme="0"/>
        <rFont val="Calibri"/>
        <family val="2"/>
        <scheme val="minor"/>
      </rPr>
      <t>2</t>
    </r>
    <r>
      <rPr>
        <sz val="11"/>
        <color theme="0"/>
        <rFont val="Calibri"/>
        <family val="2"/>
        <scheme val="minor"/>
      </rPr>
      <t xml:space="preserve"> Emission Costs ($)</t>
    </r>
  </si>
  <si>
    <r>
      <t>Build CO</t>
    </r>
    <r>
      <rPr>
        <vertAlign val="subscript"/>
        <sz val="11"/>
        <color theme="0"/>
        <rFont val="Calibri"/>
        <family val="2"/>
        <scheme val="minor"/>
      </rPr>
      <t>2</t>
    </r>
    <r>
      <rPr>
        <sz val="11"/>
        <color theme="0"/>
        <rFont val="Calibri"/>
        <family val="2"/>
        <scheme val="minor"/>
      </rPr>
      <t xml:space="preserve"> Emission Costs ($)</t>
    </r>
  </si>
  <si>
    <t>Table 2. Emissions</t>
  </si>
  <si>
    <t>First Year of Project Development/Construction</t>
  </si>
  <si>
    <t>Table 2. Residual Value</t>
  </si>
  <si>
    <t>Table 1. Useful Life</t>
  </si>
  <si>
    <t>Project Component</t>
  </si>
  <si>
    <t>[Text Describing Project Component]</t>
  </si>
  <si>
    <t>Useful Life (Years)</t>
  </si>
  <si>
    <r>
      <t xml:space="preserve">• </t>
    </r>
    <r>
      <rPr>
        <b/>
        <sz val="11"/>
        <rFont val="Calibri"/>
        <family val="2"/>
        <scheme val="minor"/>
      </rPr>
      <t>Input, Optional, and No-Input cells.</t>
    </r>
  </si>
  <si>
    <r>
      <rPr>
        <b/>
        <sz val="11"/>
        <rFont val="Calibri"/>
        <family val="2"/>
        <scheme val="minor"/>
      </rPr>
      <t>•  Parameter Values.</t>
    </r>
    <r>
      <rPr>
        <sz val="11"/>
        <rFont val="Calibri"/>
        <family val="2"/>
        <scheme val="minor"/>
      </rPr>
      <t xml:space="preserve"> This template provides a copy of the Appendix A tables from the USDOT BCA guidance document in a spreadsheet format, located on the "Parameter Values" sheet. </t>
    </r>
  </si>
  <si>
    <t>Source: USDOT BCA Guidance (Appendix A)</t>
  </si>
  <si>
    <t>This sheet provides a copy of parameter and monetization values from Appendix A of the USDOT BCA Guidance, and is provided for convenience.</t>
  </si>
  <si>
    <t>User Volumes</t>
  </si>
  <si>
    <t>Users can use whichever units are of interest to their application (for example: number of users, average annual daily traffic, person miles traveled, vehicle miles traveled).</t>
  </si>
  <si>
    <t>Whether amounts are entered in dollar form OR direct units of emissions, the template will automatically apply discounting to all costs and benefits for you.</t>
  </si>
  <si>
    <t xml:space="preserve">To calculate overall residual value for the entire project automatically, simply enter a useful life in the first row of Table 1 below. </t>
  </si>
  <si>
    <t>Total Residual Value</t>
  </si>
  <si>
    <t>Overall Project if One Component</t>
  </si>
  <si>
    <t>If there are multiple distinct components with unique useful lives, use multiple rows as needed and override the formula and names in the input cells of Table 1 below.</t>
  </si>
  <si>
    <t>&lt;-For project development costs prior to the model base year, enter into the "Capital Cost" tab in the cell for previously incurred costs</t>
  </si>
  <si>
    <t>For projects that involve capacity expansion or represent purely operational improvements, no residual value should be assumed.</t>
  </si>
  <si>
    <t>To remove the residual value, please enter "0" in the blue cell below in lieu of the automatic calculation</t>
  </si>
  <si>
    <t>Applicants should use this sheet for general operations and maintenance, as well as any recapitalization costs that will be needed for project components over the course of the analysis period.</t>
  </si>
  <si>
    <t>To avoid double-counting of benefits, applicants should not enter the same emission data as BOTH a dollar value and as units of emissions.</t>
  </si>
  <si>
    <t>Unique to this sheet, the template will automatically apply the correct monetization values for units of emissions.</t>
  </si>
  <si>
    <t>USDOT Benefit-Cost Analysis Spreadsheet Template</t>
  </si>
  <si>
    <t>What is the USDOT Benefit-Cost Analysis Spreadsheet Template?</t>
  </si>
  <si>
    <t xml:space="preserve">The USDOT Benefit-Cost Analysis Spreadsheet Template is being offered as a resource to applicants to help them get started on their BCA. Applicants are NOT required to use this template, it is simply offered as a convenience. </t>
  </si>
  <si>
    <t>•	  Understanding of the project and the problem it is intended to solve.</t>
  </si>
  <si>
    <t>•	  The estimated costs of the project.</t>
  </si>
  <si>
    <t>•	  Information needed to estimate the benefits of the project (e.g., number users, baseline conditions, measures of effectiveness, expected service life).</t>
  </si>
  <si>
    <r>
      <t xml:space="preserve">      o Green, </t>
    </r>
    <r>
      <rPr>
        <b/>
        <sz val="11"/>
        <rFont val="Calibri"/>
        <family val="2"/>
        <scheme val="minor"/>
      </rPr>
      <t>bold</t>
    </r>
    <r>
      <rPr>
        <sz val="11"/>
        <rFont val="Calibri"/>
        <family val="2"/>
        <scheme val="minor"/>
      </rPr>
      <t xml:space="preserve">, and </t>
    </r>
    <r>
      <rPr>
        <u/>
        <sz val="11"/>
        <rFont val="Calibri"/>
        <family val="2"/>
        <scheme val="minor"/>
      </rPr>
      <t>underlined</t>
    </r>
    <r>
      <rPr>
        <sz val="11"/>
        <rFont val="Calibri"/>
        <family val="2"/>
        <scheme val="minor"/>
      </rPr>
      <t xml:space="preserve"> cells represent user input cells. These cells are available for input from the user.</t>
    </r>
  </si>
  <si>
    <r>
      <t xml:space="preserve">      o Blue and </t>
    </r>
    <r>
      <rPr>
        <i/>
        <sz val="11"/>
        <rFont val="Calibri"/>
        <family val="2"/>
        <scheme val="minor"/>
      </rPr>
      <t xml:space="preserve">italic </t>
    </r>
    <r>
      <rPr>
        <sz val="11"/>
        <rFont val="Calibri"/>
        <family val="2"/>
        <scheme val="minor"/>
      </rPr>
      <t>cells represent cells where the user may want to edit the formula depending on their project details</t>
    </r>
  </si>
  <si>
    <t xml:space="preserve">      o Gray and plain text cells represent a cell that does not require user input, and should not be edited.</t>
  </si>
  <si>
    <t>Model Date</t>
  </si>
  <si>
    <t>&lt;-See USDOT BCA Guidance for discussion of how to determine the appropriate operational period length</t>
  </si>
  <si>
    <t>This is an optional sheet to aid in displaying user volumes, note that it does not automatically link to any other sheet and is provided for convenience and organizational purposes.</t>
  </si>
  <si>
    <t>Annual Inflation Rate Used to Convert Constant Dollars to Year-of-Expenditure Dollars</t>
  </si>
  <si>
    <t>Other Highway Use Externalities</t>
  </si>
  <si>
    <t>Undiscounted Total</t>
  </si>
  <si>
    <t>Table A-1b: Value of Reduced Fatal, Injury, and PDO Crashes</t>
  </si>
  <si>
    <t>To manually calculate the residual value, please enter your estimated value in the blue italicized cell below in lieu of the automatic calculation</t>
  </si>
  <si>
    <t>1)  Values for personal travel based on local travel values as described in USDOT’s Value of Travel Time guidance. Where applicants also have specific information on the mix of local versus long-distance travel (i.e., trips over 50 miles in length) on a facility, then the local travel values of time may be blended with the long-distance personal travel value of $27.10 per hour.</t>
  </si>
  <si>
    <t>3)  Note that business travel does not include commuting travel, which should be valued at the personal travel rate. Travel on high-speed rail service that would be competitive with air travel should be valued at $51.50 per hour for personal travel and $83.30 for business travel.</t>
  </si>
  <si>
    <t>Monetized Value (2023 $)</t>
  </si>
  <si>
    <t>(2023 $ per person-hour)</t>
  </si>
  <si>
    <t>Recommended Value per Mile (2023 $)</t>
  </si>
  <si>
    <t>Recommended Value per Hour (2023 $)</t>
  </si>
  <si>
    <t>Multiplier to Adjust to Real 2023 $</t>
  </si>
  <si>
    <r>
      <t>Recommended Value per Person-Mile Walked (2023 $)</t>
    </r>
    <r>
      <rPr>
        <vertAlign val="superscript"/>
        <sz val="11"/>
        <color theme="0"/>
        <rFont val="Times New Roman"/>
        <family val="1"/>
      </rPr>
      <t>1</t>
    </r>
  </si>
  <si>
    <r>
      <t>Recommended Value per Use (2023 $)</t>
    </r>
    <r>
      <rPr>
        <vertAlign val="superscript"/>
        <sz val="11"/>
        <color theme="0"/>
        <rFont val="Times New Roman"/>
        <family val="1"/>
      </rPr>
      <t>1</t>
    </r>
  </si>
  <si>
    <r>
      <t>Recommended Value per Cycling Mile (2023 $)</t>
    </r>
    <r>
      <rPr>
        <vertAlign val="superscript"/>
        <sz val="11"/>
        <color theme="0"/>
        <rFont val="Times New Roman"/>
        <family val="1"/>
      </rPr>
      <t>1</t>
    </r>
  </si>
  <si>
    <t>Recommended Value per User Trip (2023 $)</t>
  </si>
  <si>
    <r>
      <t>Boarding Quality Benefit (Per Boarding) (2023 $)</t>
    </r>
    <r>
      <rPr>
        <vertAlign val="superscript"/>
        <sz val="11"/>
        <color theme="0"/>
        <rFont val="Calibri"/>
        <family val="2"/>
        <scheme val="minor"/>
      </rPr>
      <t>1</t>
    </r>
  </si>
  <si>
    <r>
      <t>Vehicle Ride Quality Benefit (Per Passenger Hour) (2023 $)</t>
    </r>
    <r>
      <rPr>
        <vertAlign val="superscript"/>
        <sz val="11"/>
        <color theme="0"/>
        <rFont val="Calibri"/>
        <family val="2"/>
        <scheme val="minor"/>
      </rPr>
      <t>1</t>
    </r>
  </si>
  <si>
    <r>
      <t>Recommended Value per Induced Trip (2023 $)</t>
    </r>
    <r>
      <rPr>
        <vertAlign val="superscript"/>
        <sz val="11"/>
        <color theme="0"/>
        <rFont val="Calibri"/>
        <family val="2"/>
        <scheme val="minor"/>
      </rPr>
      <t>4</t>
    </r>
  </si>
  <si>
    <r>
      <t>Recommended Value of Cost per Vehicle Mile Traveled (2023 $)</t>
    </r>
    <r>
      <rPr>
        <vertAlign val="superscript"/>
        <sz val="11"/>
        <color theme="0"/>
        <rFont val="Times New Roman"/>
        <family val="1"/>
      </rPr>
      <t>1</t>
    </r>
  </si>
  <si>
    <t>1)   Congestion costs updated from the 1997 Highway Cost Allocation Study to reflect increased traffic volumes, changes in vehicle occupancy, and increases in the value of time per person-hour since that time. Both congestion and noise costs are also adjusted from 1994 dollars to 2023 dollars using the GDP deflator.</t>
  </si>
  <si>
    <t>Previously Incurred Costs (in 2023$)</t>
  </si>
  <si>
    <t>Cost in Constant Dollars (2023 $)</t>
  </si>
  <si>
    <t xml:space="preserve">All values entered into input cells in this sheet should be entered as undiscounted 2023 dollar values. The template will automatically apply discounting to all costs and benefits for you. </t>
  </si>
  <si>
    <t>Hourly Value (2023 $)</t>
  </si>
  <si>
    <t xml:space="preserve">Unique to this sheet, applicants may either input monetized emissions in 2023 dollars OR enter the direct emission amounts in the table below, in which case they must be entered in the form of METRIC TONS. A metric ton is equal to 1.1023 short tons. </t>
  </si>
  <si>
    <t>Recommended Value per Induced Trip (2023 $)</t>
  </si>
  <si>
    <t>Capital Cost (2023 $)</t>
  </si>
  <si>
    <t>I-44 to MO360</t>
  </si>
  <si>
    <t>Baseline</t>
  </si>
  <si>
    <t>Project Build</t>
  </si>
  <si>
    <t>MoDOT AADT 2023</t>
  </si>
  <si>
    <t>No Build AADT</t>
  </si>
  <si>
    <t>Project Build AADT</t>
  </si>
  <si>
    <t>Annual Hrs Below Free Flow</t>
  </si>
  <si>
    <t>Annual Hrs of Delay</t>
  </si>
  <si>
    <t>Build v. No Build Delay Reduction (Annual Hrs)</t>
  </si>
  <si>
    <t>VTT Savings</t>
  </si>
  <si>
    <t>Model 2050 ADT No Build</t>
  </si>
  <si>
    <t>Model 2050 ADT Project Build</t>
  </si>
  <si>
    <t>Annual ADT Growth No Build</t>
  </si>
  <si>
    <t>Annual ADT Growth Project Build</t>
  </si>
  <si>
    <t>Total Mean Delay 2024 EC Baseline (Seconds)</t>
  </si>
  <si>
    <t>Total Mean Delay 2050 EC No Build (Seconds)</t>
  </si>
  <si>
    <t>Total Mean Delay 2050 LRTP Project Build (Seconds)</t>
  </si>
  <si>
    <t>MoDOT Truck Pct</t>
  </si>
  <si>
    <t>Bus Pct</t>
  </si>
  <si>
    <t>Passenger Car/ PU Truck</t>
  </si>
  <si>
    <t xml:space="preserve">Passenger Car Occupancy </t>
  </si>
  <si>
    <t>Mean Delay Annual Growth Rate 2024EC/2050 EC No Build</t>
  </si>
  <si>
    <t>Mean Delay Annual Growth Rate 2024EC/2050 LRTP Project Build</t>
  </si>
  <si>
    <t xml:space="preserve"> MO360 to Haile St</t>
  </si>
  <si>
    <t>Daily Minutes Below Free Flow</t>
  </si>
  <si>
    <t xml:space="preserve">Table 1. Emission Rates  </t>
  </si>
  <si>
    <t>Average Idle Emission Rates (g/hr)</t>
  </si>
  <si>
    <t>Idle Fuel Consumption for Selected Gasoline and Diesel Vehicles</t>
  </si>
  <si>
    <t>2023 Traffic Volume by Vehicle Type</t>
  </si>
  <si>
    <t>Light Duty Gasoline Fueled Vehicles</t>
  </si>
  <si>
    <t>VEHICLE TYPE</t>
  </si>
  <si>
    <t>FUEL TYPE</t>
  </si>
  <si>
    <t>ENGINE SIZE</t>
  </si>
  <si>
    <t>IDLING FUEL USE</t>
  </si>
  <si>
    <t>AADT</t>
  </si>
  <si>
    <t>Volatile Organic Compounds (VOC)</t>
  </si>
  <si>
    <t>(LITER)</t>
  </si>
  <si>
    <t>GROSS VEHICLE WEIGHT</t>
  </si>
  <si>
    <t>(GAL/HR WITH NO LOAD)</t>
  </si>
  <si>
    <t>AAWDT</t>
  </si>
  <si>
    <t>Nitrogen Oxide (NOx)</t>
  </si>
  <si>
    <t>Compact Sedan</t>
  </si>
  <si>
    <t>Gas</t>
  </si>
  <si>
    <t>Mcycle</t>
  </si>
  <si>
    <t>Particulate Matter (PM2.5)</t>
  </si>
  <si>
    <t>N/A</t>
  </si>
  <si>
    <t>Large Sedan</t>
  </si>
  <si>
    <t>Passenger Car</t>
  </si>
  <si>
    <t>Sulfur Dioxide (SO2)</t>
  </si>
  <si>
    <t>Diesel</t>
  </si>
  <si>
    <t>PU Truck</t>
  </si>
  <si>
    <t>Heavy Duty Diesel Vehicle</t>
  </si>
  <si>
    <t>Medium Heavy Truck</t>
  </si>
  <si>
    <t>5 to 7</t>
  </si>
  <si>
    <t>19,700-26,000</t>
  </si>
  <si>
    <t>Delivery Truck</t>
  </si>
  <si>
    <t>Single Unit Truck</t>
  </si>
  <si>
    <t>Tow Truck</t>
  </si>
  <si>
    <t>Comb Semi Trailer</t>
  </si>
  <si>
    <t>6 to 10</t>
  </si>
  <si>
    <t>23,000-33,000</t>
  </si>
  <si>
    <t>Peak Period Vol*</t>
  </si>
  <si>
    <t>Transit Bus</t>
  </si>
  <si>
    <t>*Peak Period = 6am - 9am &amp; 4pm - 7pm</t>
  </si>
  <si>
    <t>Combination Truck</t>
  </si>
  <si>
    <t>Unit Conversions</t>
  </si>
  <si>
    <t>Bucket Truck</t>
  </si>
  <si>
    <t>Grams per US Ton (Short Ton)</t>
  </si>
  <si>
    <t>Tractor-Semitrailer</t>
  </si>
  <si>
    <t>US Ton(Short Ton) to Metric Ton</t>
  </si>
  <si>
    <t>https://www.epa.gov/energy/greenhouse-gases-equivalencies-calculator-calculations-and-references</t>
  </si>
  <si>
    <t>Grams of CO2/gal (Gas)*</t>
  </si>
  <si>
    <t>https://www.energy.gov/eere/vehicles/fact-861-february-23-2015-idle-fuel-consumption-selected-gasoline-and-diesel-vehicles</t>
  </si>
  <si>
    <t>Grams of CO2/gal (Diesel)*</t>
  </si>
  <si>
    <t>*Greenhouse Gases Equivalencies Calculator - Calculations and References</t>
  </si>
  <si>
    <t>Rte MM -MO360 to I-44</t>
  </si>
  <si>
    <t>Crashes</t>
  </si>
  <si>
    <t>Yearly Avg</t>
  </si>
  <si>
    <t>Fatal</t>
  </si>
  <si>
    <t>Suspected Serious Injury</t>
  </si>
  <si>
    <t>Minor Injury</t>
  </si>
  <si>
    <t>PDO</t>
  </si>
  <si>
    <t>Rte MM - MO360 Bridge to Haile St</t>
  </si>
  <si>
    <t>Table 2. Five-Year Crash History 2019 - 2023</t>
  </si>
  <si>
    <t xml:space="preserve">Total </t>
  </si>
  <si>
    <t>360 to Haile No Build</t>
  </si>
  <si>
    <t>360 to Haile Build</t>
  </si>
  <si>
    <t>Total Crashes</t>
  </si>
  <si>
    <t>FI Crashes</t>
  </si>
  <si>
    <t>FI (%)</t>
  </si>
  <si>
    <t>PDO Crashes</t>
  </si>
  <si>
    <t>PDO (%)</t>
  </si>
  <si>
    <t>Total CRF</t>
  </si>
  <si>
    <t>FI CRF</t>
  </si>
  <si>
    <t>PDO CRF</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</si>
  <si>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</si>
  <si>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</si>
  <si>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</si>
  <si>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</si>
  <si>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</si>
  <si>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</si>
  <si>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</si>
  <si>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</si>
  <si>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</si>
  <si>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</si>
  <si>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</si>
  <si>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</si>
  <si>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</si>
  <si>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</si>
  <si>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</si>
  <si>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</si>
  <si>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</si>
  <si>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</si>
  <si>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</si>
  <si>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</si>
  <si>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</si>
  <si>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</si>
  <si>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</si>
  <si>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</si>
  <si>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</si>
  <si>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</si>
  <si>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</si>
  <si>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Average</t>
  </si>
  <si>
    <t>I44 - MO360 No Build</t>
  </si>
  <si>
    <t>I44 - MO360 Build</t>
  </si>
  <si>
    <t>IHSDM Predicted Crash Frequencies</t>
  </si>
  <si>
    <t>Proportion EV (Light Duty)</t>
  </si>
  <si>
    <t>Mortality Reduction Benefit Criteria - Pedestrian</t>
  </si>
  <si>
    <t>Segment</t>
  </si>
  <si>
    <t>Number of Walkers</t>
  </si>
  <si>
    <t>Days per Year</t>
  </si>
  <si>
    <t xml:space="preserve">Induced Walking Trips </t>
  </si>
  <si>
    <t>Benefit</t>
  </si>
  <si>
    <t>Total Value of New Trips</t>
  </si>
  <si>
    <t>Sidewalk - Haile Street - MO 360</t>
  </si>
  <si>
    <t>Sidewalk - MO 360 to I-44</t>
  </si>
  <si>
    <t>Mortality Reduction Benefit Criteria - Bicyclist</t>
  </si>
  <si>
    <t>Number of Bicyclists</t>
  </si>
  <si>
    <t xml:space="preserve">Induced Biking Trips </t>
  </si>
  <si>
    <t>Pedestrian Facility Inputs</t>
  </si>
  <si>
    <t xml:space="preserve">Segment </t>
  </si>
  <si>
    <t>Number of Walkers Per Segment</t>
  </si>
  <si>
    <t>Expand or new Sidewalk (per foot of added Width)</t>
  </si>
  <si>
    <t xml:space="preserve">Reducing Traffic Speed by 1 mph (for speeds greater than &lt;45 mph) </t>
  </si>
  <si>
    <t xml:space="preserve">Valute Reducing Traffic Speed by 1 mph (for speeds greater than &lt;45 mph) </t>
  </si>
  <si>
    <t>Total Pedestrian Facility Improvement $ Value</t>
  </si>
  <si>
    <t>Trip Mile</t>
  </si>
  <si>
    <t>Days Per Year</t>
  </si>
  <si>
    <t>5'</t>
  </si>
  <si>
    <t>Pedestrian Improvement Haile Street to MO 360</t>
  </si>
  <si>
    <t>Pedestrian Improvement MO 360 to I-44</t>
  </si>
  <si>
    <t>Values from January 2023 BCA Guidance.  Pedstrians from estimate of daily walkers.  Springfield, MO trail counts average weekly walkers from March to September 2020 1,560.  Total average usage of trail segment in Springfield area from March to September 56,160. Numbers used here are conservative and below the local average.</t>
  </si>
  <si>
    <t>Value Pedestrian Facility Additions</t>
  </si>
  <si>
    <t>Pedestrian Improvement Haile Road to MO 360</t>
  </si>
  <si>
    <t>Pedestrian Improvement MO360 to I-44</t>
  </si>
  <si>
    <t>Total Present Value</t>
  </si>
  <si>
    <t>2026 (PE &amp; ROW)</t>
  </si>
  <si>
    <t>2027 (Construction)</t>
  </si>
  <si>
    <t>2028 (Construction)</t>
  </si>
  <si>
    <t>Present Value</t>
  </si>
  <si>
    <t>Operations and Maintenance Cost</t>
  </si>
  <si>
    <t>Project Benefit Year</t>
  </si>
  <si>
    <t>No-Build O&amp;M</t>
  </si>
  <si>
    <t>Build O&amp;M</t>
  </si>
  <si>
    <t xml:space="preserve">Net Difference Cost </t>
  </si>
  <si>
    <t>Total Costs</t>
  </si>
  <si>
    <t xml:space="preserve">Cost Per Lane Mile - 2 Lanes No Build </t>
  </si>
  <si>
    <t>Cost per Lane Mile - 4 Lanes Build</t>
  </si>
  <si>
    <t>Operations &amp; Maintenance Inputs</t>
  </si>
  <si>
    <t>Hwy MM-I-44 to MO360</t>
  </si>
  <si>
    <t>No Build - 2 Lanes</t>
  </si>
  <si>
    <t>Build - 4 Lanes</t>
  </si>
  <si>
    <t>Segment Miles</t>
  </si>
  <si>
    <t>Lane miles</t>
  </si>
  <si>
    <t>Hwy MM-MO360-US60</t>
  </si>
  <si>
    <t>Baseline per Lane Mile Costs per Year</t>
  </si>
  <si>
    <t>Maintenance Type</t>
  </si>
  <si>
    <t>Cost</t>
  </si>
  <si>
    <t>Patching</t>
  </si>
  <si>
    <t>Mowing</t>
  </si>
  <si>
    <t>Signing</t>
  </si>
  <si>
    <t>Snow Removal</t>
  </si>
  <si>
    <t>Signal</t>
  </si>
  <si>
    <t>Pavement</t>
  </si>
  <si>
    <t>Values from November 2024 BCA Guidance.  Pedstrians from estimate of daily walkers.  Springfield, MO trail counts average weekly walkers from March to September 2020 1,560.  Total average usage of trail segment in Springfield area from March to September 56,160. Numbers used here are conservative and below the local average.</t>
  </si>
  <si>
    <t>Values from November 2024 BCA Guidance.  Pedestrians from estimate of daily walkers.  Springfield, MO trail counts average weekly walkers from March to September 2020 1,560.  Total average usage of trail segment in Springfield area from March to September 56,160. Numbers used here are conservative and below the local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</si>
</sst>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00"/>
    <numFmt numFmtId="165" formatCode="&quot;$&quot;#,##0"/>
    <numFmt numFmtId="166" formatCode="&quot;$&quot;#,##0.0000"/>
    <numFmt numFmtId="167" formatCode="&quot;$&quot;#,##0.000_);[Red]\(&quot;$&quot;#,##0.000\)"/>
    <numFmt numFmtId="168" formatCode="&quot;$&quot;#,##0.0000_);[Red]\(&quot;$&quot;#,##0.0000\)"/>
    <numFmt numFmtId="169" formatCode="&quot;$&quot;#,##0.000"/>
    <numFmt numFmtId="170" formatCode="_(&quot;$&quot;* #,##0_);_(&quot;$&quot;* \(#,##0\);_(&quot;$&quot;* &quot;-&quot;??_);_(@_)"/>
    <numFmt numFmtId="171" formatCode="_(* #,##0_);_(* \(#,##0\);_(* &quot;-&quot;??_);_(@_)"/>
    <numFmt numFmtId="172" formatCode="_(* #,##0.00000_);_(* \(#,##0.00000\);_(* &quot;-&quot;??_);_(@_)"/>
    <numFmt numFmtId="173" formatCode="0.0000"/>
    <numFmt numFmtId="174" formatCode="0.000"/>
  </numFmts>
  <fonts count="39" x14ac:knownFonts="1">
    <font>
      <sz val="11"/>
      <color theme="1"/>
      <name val="Calibri"/>
      <family val="2"/>
      <scheme val="minor"/>
    </font>
    <font>
      <u/>
      <sz val="11"/>
      <color theme="10"/>
      <name val="Calibri"/>
      <family val="2"/>
      <scheme val="minor"/>
    </font>
    <font>
      <sz val="11"/>
      <color rgb="FF1F497D"/>
      <name val="Times New Roman"/>
      <family val="1"/>
    </font>
    <font>
      <vertAlign val="superscript"/>
      <sz val="11"/>
      <color rgb="FF1F497D"/>
      <name val="Times New Roman"/>
      <family val="1"/>
    </font>
    <font>
      <vertAlign val="superscript"/>
      <sz val="11"/>
      <color theme="1"/>
      <name val="Calibri"/>
      <family val="2"/>
      <scheme val="minor"/>
    </font>
    <font>
      <b/>
      <i/>
      <sz val="11"/>
      <color theme="8" tint="-0.249977111117893"/>
      <name val="Times New Roman"/>
      <family val="1"/>
    </font>
    <font>
      <sz val="11"/>
      <color theme="1"/>
      <name val="Times New Roman"/>
      <family val="1"/>
    </font>
    <font>
      <vertAlign val="superscript"/>
      <sz val="11"/>
      <color theme="1"/>
      <name val="Times New Roman"/>
      <family val="1"/>
    </font>
    <font>
      <vertAlign val="subscript"/>
      <sz val="11"/>
      <color rgb="FF1F497D"/>
      <name val="Times New Roman"/>
      <family val="1"/>
    </font>
    <font>
      <b/>
      <u/>
      <sz val="11"/>
      <color theme="1"/>
      <name val="Calibri"/>
      <family val="2"/>
      <scheme val="minor"/>
    </font>
    <font>
      <i/>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1"/>
      <color theme="0"/>
      <name val="Calibri"/>
      <family val="2"/>
      <scheme val="minor"/>
    </font>
    <font>
      <sz val="11"/>
      <color theme="0"/>
      <name val="Calibri"/>
      <family val="2"/>
      <scheme val="minor"/>
    </font>
    <font>
      <b/>
      <sz val="15"/>
      <name val="Calibri"/>
      <family val="2"/>
      <scheme val="minor"/>
    </font>
    <font>
      <sz val="12"/>
      <color theme="1"/>
      <name val="Calibri"/>
      <family val="2"/>
      <scheme val="minor"/>
    </font>
    <font>
      <sz val="11"/>
      <name val="Calibri"/>
      <family val="2"/>
      <scheme val="minor"/>
    </font>
    <font>
      <b/>
      <sz val="11"/>
      <name val="Calibri"/>
      <family val="2"/>
      <scheme val="minor"/>
    </font>
    <font>
      <b/>
      <sz val="16"/>
      <color theme="0"/>
      <name val="Calibri"/>
      <family val="2"/>
      <scheme val="minor"/>
    </font>
    <font>
      <b/>
      <sz val="11"/>
      <color theme="0"/>
      <name val="Times New Roman"/>
      <family val="1"/>
    </font>
    <font>
      <sz val="11"/>
      <color theme="0"/>
      <name val="Times New Roman"/>
      <family val="1"/>
    </font>
    <font>
      <vertAlign val="superscript"/>
      <sz val="11"/>
      <color theme="0"/>
      <name val="Times New Roman"/>
      <family val="1"/>
    </font>
    <font>
      <vertAlign val="superscript"/>
      <sz val="11"/>
      <color theme="0"/>
      <name val="Calibri"/>
      <family val="2"/>
      <scheme val="minor"/>
    </font>
    <font>
      <vertAlign val="subscript"/>
      <sz val="11"/>
      <color theme="0"/>
      <name val="Times New Roman"/>
      <family val="1"/>
    </font>
    <font>
      <sz val="14"/>
      <name val="Calibri"/>
      <family val="2"/>
      <scheme val="minor"/>
    </font>
    <font>
      <vertAlign val="subscript"/>
      <sz val="11"/>
      <color theme="0"/>
      <name val="Calibri"/>
      <family val="2"/>
      <scheme val="minor"/>
    </font>
    <font>
      <u/>
      <sz val="11"/>
      <name val="Calibri"/>
      <family val="2"/>
      <scheme val="minor"/>
    </font>
    <font>
      <i/>
      <sz val="11"/>
      <name val="Calibri"/>
      <family val="2"/>
      <scheme val="minor"/>
    </font>
    <font>
      <b/>
      <sz val="11"/>
      <color theme="1"/>
      <name val="Calibri"/>
      <family val="2"/>
    </font>
    <font>
      <b/>
      <sz val="11"/>
      <color theme="1"/>
      <name val="Calibri"/>
      <family val="2"/>
      <scheme val="minor"/>
    </font>
    <font>
      <b/>
      <sz val="12"/>
      <color theme="0"/>
      <name val="Calibri"/>
      <family val="2"/>
      <scheme val="minor"/>
    </font>
    <font>
      <sz val="12"/>
      <color theme="1"/>
      <name val="Times New Roman"/>
      <family val="1"/>
    </font>
    <font>
      <b/>
      <sz val="12"/>
      <color theme="0"/>
      <name val="Times New Roman"/>
      <family val="1"/>
    </font>
    <font>
      <sz val="12"/>
      <color theme="0"/>
      <name val="Times New Roman"/>
      <family val="1"/>
    </font>
    <font>
      <sz val="12"/>
      <color theme="0"/>
      <name val="Calibri"/>
      <family val="2"/>
      <scheme val="minor"/>
    </font>
    <font>
      <b/>
      <sz val="12"/>
      <color theme="1"/>
      <name val="Calibri"/>
      <family val="2"/>
      <scheme val="minor"/>
    </font>
  </fonts>
  <fills count="20">
    <fill>
      <patternFill patternType="none"/>
    </fill>
    <fill>
      <patternFill patternType="gray125"/>
    </fill>
    <fill>
      <patternFill patternType="solid">
        <fgColor theme="9"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rgb="FFA9D08E"/>
        <bgColor indexed="64"/>
      </patternFill>
    </fill>
    <fill>
      <patternFill patternType="solid">
        <fgColor theme="0" tint="-4.9989318521683403E-2"/>
        <bgColor indexed="64"/>
      </patternFill>
    </fill>
    <fill>
      <patternFill patternType="solid">
        <fgColor theme="1"/>
        <bgColor indexed="64"/>
      </patternFill>
    </fill>
    <fill>
      <patternFill patternType="solid">
        <fgColor theme="4"/>
        <bgColor theme="4"/>
      </patternFill>
    </fill>
    <fill>
      <patternFill patternType="solid">
        <fgColor theme="4"/>
        <bgColor indexed="64"/>
      </patternFill>
    </fill>
    <fill>
      <patternFill patternType="solid">
        <fgColor theme="1"/>
        <bgColor theme="1"/>
      </patternFill>
    </fill>
    <fill>
      <patternFill patternType="solid">
        <fgColor theme="1" tint="0.34998626667073579"/>
        <bgColor indexed="64"/>
      </patternFill>
    </fill>
    <fill>
      <patternFill patternType="solid">
        <fgColor theme="0" tint="-0.14999847407452621"/>
        <bgColor indexed="64"/>
      </patternFill>
    </fill>
    <fill>
      <patternFill patternType="solid">
        <fgColor rgb="FFFFFFCC"/>
      </patternFill>
    </fill>
    <fill>
      <patternFill patternType="solid">
        <fgColor theme="8" tint="0.39997558519241921"/>
        <bgColor indexed="64"/>
      </patternFill>
    </fill>
    <fill>
      <patternFill patternType="solid">
        <fgColor rgb="FF2B475C"/>
        <bgColor indexed="64"/>
      </patternFill>
    </fill>
    <fill>
      <patternFill patternType="solid">
        <fgColor rgb="FFED751C"/>
        <bgColor indexed="64"/>
      </patternFill>
    </fill>
    <fill>
      <patternFill patternType="solid">
        <fgColor theme="2" tint="-9.9978637043366805E-2"/>
        <bgColor indexed="64"/>
      </patternFill>
    </fill>
    <fill>
      <patternFill patternType="solid">
        <fgColor theme="3"/>
        <bgColor indexed="64"/>
      </patternFill>
    </fill>
    <fill>
      <patternFill patternType="solid">
        <fgColor rgb="FF019283"/>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ck">
        <color theme="4" tint="0.499984740745262"/>
      </top>
      <bottom style="thin">
        <color indexed="64"/>
      </bottom>
      <diagonal/>
    </border>
    <border>
      <left style="thin">
        <color indexed="64"/>
      </left>
      <right style="thin">
        <color indexed="64"/>
      </right>
      <top style="thick">
        <color theme="4" tint="0.499984740745262"/>
      </top>
      <bottom/>
      <diagonal/>
    </border>
    <border>
      <left style="thin">
        <color indexed="64"/>
      </left>
      <right/>
      <top/>
      <bottom style="medium">
        <color indexed="64"/>
      </bottom>
      <diagonal/>
    </border>
    <border>
      <left style="medium">
        <color indexed="64"/>
      </left>
      <right/>
      <top style="medium">
        <color indexed="64"/>
      </top>
      <bottom style="thick">
        <color theme="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style="thin">
        <color theme="0"/>
      </top>
      <bottom/>
      <diagonal/>
    </border>
    <border>
      <left style="thin">
        <color theme="0"/>
      </left>
      <right/>
      <top/>
      <bottom/>
      <diagonal/>
    </border>
    <border>
      <left style="thin">
        <color indexed="64"/>
      </left>
      <right style="thin">
        <color indexed="64"/>
      </right>
      <top style="thin">
        <color theme="0"/>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s>
  <cellStyleXfs count="10">
    <xf numFmtId="0" fontId="0" fillId="0" borderId="0"/>
    <xf numFmtId="0" fontId="1" fillId="0" borderId="0" applyNumberFormat="0" applyFill="0" applyBorder="0" applyAlignment="0" applyProtection="0"/>
    <xf numFmtId="44" fontId="11" fillId="0" borderId="0" applyFont="0" applyFill="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0" applyNumberFormat="0" applyFill="0" applyBorder="0" applyAlignment="0" applyProtection="0"/>
    <xf numFmtId="0" fontId="18" fillId="0" borderId="0"/>
    <xf numFmtId="0" fontId="1" fillId="0" borderId="0" applyNumberFormat="0" applyFill="0" applyBorder="0" applyAlignment="0" applyProtection="0"/>
    <xf numFmtId="0" fontId="11" fillId="13" borderId="32" applyNumberFormat="0" applyFont="0" applyAlignment="0" applyProtection="0"/>
    <xf numFmtId="43" fontId="11" fillId="0" borderId="0" applyFont="0" applyFill="0" applyBorder="0" applyAlignment="0" applyProtection="0"/>
  </cellStyleXfs>
  <cellXfs count="351">
    <xf numFmtId="0" fontId="0" fillId="0" borderId="0" xfId="0"/>
    <xf numFmtId="0" fontId="0" fillId="3" borderId="0" xfId="0" applyFill="1"/>
    <xf numFmtId="0" fontId="0" fillId="3" borderId="14" xfId="0" applyFill="1" applyBorder="1"/>
    <xf numFmtId="0" fontId="0" fillId="3" borderId="16" xfId="0" applyFill="1" applyBorder="1"/>
    <xf numFmtId="0" fontId="6" fillId="0" borderId="10" xfId="0" applyFont="1" applyBorder="1"/>
    <xf numFmtId="0" fontId="0" fillId="4" borderId="0" xfId="0" applyFill="1"/>
    <xf numFmtId="0" fontId="0" fillId="3" borderId="13" xfId="0" applyFill="1" applyBorder="1"/>
    <xf numFmtId="6" fontId="0" fillId="3" borderId="0" xfId="0" applyNumberFormat="1" applyFill="1"/>
    <xf numFmtId="6" fontId="0" fillId="3" borderId="21" xfId="0" applyNumberFormat="1" applyFill="1" applyBorder="1"/>
    <xf numFmtId="6" fontId="0" fillId="3" borderId="22" xfId="0" applyNumberFormat="1" applyFill="1" applyBorder="1"/>
    <xf numFmtId="0" fontId="0" fillId="0" borderId="7" xfId="0" applyBorder="1"/>
    <xf numFmtId="0" fontId="0" fillId="0" borderId="18"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9" xfId="0" applyBorder="1"/>
    <xf numFmtId="0" fontId="0" fillId="0" borderId="12" xfId="0" applyBorder="1"/>
    <xf numFmtId="6" fontId="0" fillId="3" borderId="4" xfId="0" applyNumberFormat="1" applyFill="1" applyBorder="1"/>
    <xf numFmtId="165" fontId="0" fillId="3" borderId="3" xfId="0" applyNumberFormat="1" applyFill="1" applyBorder="1"/>
    <xf numFmtId="165" fontId="0" fillId="3" borderId="5" xfId="0" applyNumberFormat="1" applyFill="1" applyBorder="1"/>
    <xf numFmtId="165" fontId="0" fillId="3" borderId="0" xfId="0" applyNumberFormat="1" applyFill="1"/>
    <xf numFmtId="6" fontId="9" fillId="2" borderId="2" xfId="0" applyNumberFormat="1" applyFont="1" applyFill="1" applyBorder="1"/>
    <xf numFmtId="1" fontId="9" fillId="2" borderId="1" xfId="0" applyNumberFormat="1" applyFont="1" applyFill="1" applyBorder="1"/>
    <xf numFmtId="0" fontId="9" fillId="2" borderId="17" xfId="0" applyFont="1" applyFill="1" applyBorder="1" applyAlignment="1">
      <alignment horizontal="right"/>
    </xf>
    <xf numFmtId="0" fontId="0" fillId="3" borderId="15" xfId="0" applyFill="1" applyBorder="1"/>
    <xf numFmtId="6" fontId="0" fillId="3" borderId="20" xfId="0" applyNumberFormat="1" applyFill="1" applyBorder="1"/>
    <xf numFmtId="1" fontId="9" fillId="2" borderId="2" xfId="0" applyNumberFormat="1" applyFont="1" applyFill="1" applyBorder="1"/>
    <xf numFmtId="6" fontId="9" fillId="4" borderId="0" xfId="0" applyNumberFormat="1" applyFont="1" applyFill="1"/>
    <xf numFmtId="6" fontId="0" fillId="4" borderId="0" xfId="0" applyNumberFormat="1" applyFill="1"/>
    <xf numFmtId="1" fontId="0" fillId="3" borderId="13" xfId="0" applyNumberFormat="1" applyFill="1" applyBorder="1"/>
    <xf numFmtId="0" fontId="0" fillId="4" borderId="13" xfId="0" applyFill="1" applyBorder="1"/>
    <xf numFmtId="6" fontId="9" fillId="4" borderId="13" xfId="0" applyNumberFormat="1" applyFont="1" applyFill="1" applyBorder="1"/>
    <xf numFmtId="6" fontId="0" fillId="4" borderId="13" xfId="0" applyNumberFormat="1" applyFill="1" applyBorder="1"/>
    <xf numFmtId="1" fontId="9" fillId="2" borderId="15" xfId="0" applyNumberFormat="1" applyFont="1" applyFill="1" applyBorder="1"/>
    <xf numFmtId="0" fontId="0" fillId="4" borderId="1" xfId="0" applyFill="1" applyBorder="1" applyAlignment="1">
      <alignment vertical="top" wrapText="1"/>
    </xf>
    <xf numFmtId="165" fontId="0" fillId="4" borderId="0" xfId="0" applyNumberFormat="1" applyFill="1"/>
    <xf numFmtId="165" fontId="0" fillId="3" borderId="16" xfId="0" applyNumberFormat="1" applyFill="1" applyBorder="1"/>
    <xf numFmtId="0" fontId="0" fillId="4" borderId="0" xfId="0" applyFill="1" applyAlignment="1">
      <alignment vertical="top" wrapText="1"/>
    </xf>
    <xf numFmtId="164" fontId="0" fillId="4" borderId="1" xfId="0" applyNumberFormat="1" applyFill="1" applyBorder="1" applyAlignment="1">
      <alignment vertical="top" wrapText="1"/>
    </xf>
    <xf numFmtId="165" fontId="0" fillId="4" borderId="1" xfId="0" applyNumberFormat="1" applyFill="1" applyBorder="1" applyAlignment="1">
      <alignment vertical="top" wrapText="1"/>
    </xf>
    <xf numFmtId="0" fontId="9" fillId="5" borderId="1" xfId="0" applyFont="1" applyFill="1" applyBorder="1"/>
    <xf numFmtId="8" fontId="0" fillId="4" borderId="1" xfId="0" applyNumberFormat="1" applyFill="1" applyBorder="1" applyAlignment="1">
      <alignment vertical="top" wrapText="1"/>
    </xf>
    <xf numFmtId="0" fontId="0" fillId="4" borderId="1" xfId="0" applyFill="1" applyBorder="1"/>
    <xf numFmtId="164" fontId="0" fillId="4" borderId="1" xfId="2" applyNumberFormat="1" applyFont="1" applyFill="1" applyBorder="1"/>
    <xf numFmtId="0" fontId="17" fillId="4" borderId="24" xfId="3" applyFont="1" applyFill="1" applyAlignment="1">
      <alignment wrapText="1"/>
    </xf>
    <xf numFmtId="0" fontId="11" fillId="0" borderId="0" xfId="6" quotePrefix="1" applyFont="1"/>
    <xf numFmtId="0" fontId="13" fillId="0" borderId="25" xfId="4" applyFill="1" applyAlignment="1">
      <alignment wrapText="1"/>
    </xf>
    <xf numFmtId="0" fontId="13" fillId="0" borderId="25" xfId="4" applyFill="1" applyAlignment="1"/>
    <xf numFmtId="0" fontId="19" fillId="6" borderId="21" xfId="0" applyFont="1" applyFill="1" applyBorder="1" applyAlignment="1">
      <alignment vertical="center" wrapText="1"/>
    </xf>
    <xf numFmtId="0" fontId="19" fillId="6" borderId="26" xfId="0" applyFont="1" applyFill="1" applyBorder="1" applyAlignment="1">
      <alignment vertical="center" wrapText="1"/>
    </xf>
    <xf numFmtId="0" fontId="19" fillId="6" borderId="21" xfId="0" applyFont="1" applyFill="1" applyBorder="1" applyAlignment="1">
      <alignment horizontal="left" wrapText="1"/>
    </xf>
    <xf numFmtId="0" fontId="19" fillId="6" borderId="21" xfId="0" applyFont="1" applyFill="1" applyBorder="1" applyAlignment="1">
      <alignment horizontal="left"/>
    </xf>
    <xf numFmtId="0" fontId="1" fillId="6" borderId="6" xfId="1" applyFill="1" applyBorder="1" applyAlignment="1">
      <alignment vertical="center" wrapText="1"/>
    </xf>
    <xf numFmtId="0" fontId="19" fillId="6" borderId="27" xfId="0" applyFont="1" applyFill="1" applyBorder="1" applyAlignment="1">
      <alignment vertical="center" wrapText="1"/>
    </xf>
    <xf numFmtId="0" fontId="19" fillId="6" borderId="22" xfId="0" applyFont="1" applyFill="1" applyBorder="1" applyAlignment="1">
      <alignment wrapText="1"/>
    </xf>
    <xf numFmtId="0" fontId="21" fillId="7" borderId="2" xfId="0" applyFont="1" applyFill="1" applyBorder="1"/>
    <xf numFmtId="0" fontId="0" fillId="7" borderId="13" xfId="0" applyFill="1" applyBorder="1"/>
    <xf numFmtId="0" fontId="0" fillId="0" borderId="13" xfId="0" applyBorder="1"/>
    <xf numFmtId="0" fontId="0" fillId="0" borderId="23" xfId="0" applyBorder="1"/>
    <xf numFmtId="0" fontId="0" fillId="0" borderId="4" xfId="0" applyBorder="1"/>
    <xf numFmtId="0" fontId="1" fillId="0" borderId="3" xfId="1" applyBorder="1" applyAlignment="1"/>
    <xf numFmtId="0" fontId="0" fillId="0" borderId="3" xfId="0" applyBorder="1"/>
    <xf numFmtId="0" fontId="5" fillId="0" borderId="3" xfId="0" applyFont="1" applyBorder="1"/>
    <xf numFmtId="0" fontId="6" fillId="0" borderId="0" xfId="0" applyFont="1"/>
    <xf numFmtId="0" fontId="6" fillId="0" borderId="3" xfId="0" applyFont="1" applyBorder="1"/>
    <xf numFmtId="0" fontId="15" fillId="8" borderId="1" xfId="0" applyFont="1" applyFill="1" applyBorder="1" applyAlignment="1">
      <alignment wrapText="1"/>
    </xf>
    <xf numFmtId="0" fontId="2" fillId="0" borderId="1" xfId="0" applyFont="1" applyBorder="1" applyAlignment="1">
      <alignment vertical="center" wrapText="1"/>
    </xf>
    <xf numFmtId="6" fontId="2" fillId="0" borderId="1" xfId="0" applyNumberFormat="1" applyFont="1" applyBorder="1" applyAlignment="1">
      <alignment horizontal="right" vertical="center" wrapText="1"/>
    </xf>
    <xf numFmtId="0" fontId="6" fillId="0" borderId="1" xfId="0" applyFont="1" applyBorder="1"/>
    <xf numFmtId="164" fontId="2" fillId="0" borderId="1" xfId="0" applyNumberFormat="1" applyFont="1" applyBorder="1"/>
    <xf numFmtId="0" fontId="0" fillId="7" borderId="23" xfId="0" applyFill="1" applyBorder="1"/>
    <xf numFmtId="0" fontId="6" fillId="0" borderId="4" xfId="0" applyFont="1" applyBorder="1"/>
    <xf numFmtId="0" fontId="6" fillId="0" borderId="2" xfId="0" applyFont="1" applyBorder="1"/>
    <xf numFmtId="0" fontId="6" fillId="0" borderId="23" xfId="0" applyFont="1" applyBorder="1"/>
    <xf numFmtId="0" fontId="23" fillId="9" borderId="1" xfId="0" applyFont="1" applyFill="1" applyBorder="1" applyAlignment="1">
      <alignment vertical="center" wrapText="1"/>
    </xf>
    <xf numFmtId="0" fontId="23" fillId="9" borderId="1" xfId="0" applyFont="1" applyFill="1" applyBorder="1" applyAlignment="1">
      <alignment horizontal="right" vertical="center" wrapText="1"/>
    </xf>
    <xf numFmtId="2" fontId="2" fillId="0" borderId="1" xfId="0" applyNumberFormat="1" applyFont="1" applyBorder="1" applyAlignment="1">
      <alignment horizontal="right" vertical="center" wrapText="1"/>
    </xf>
    <xf numFmtId="8" fontId="2" fillId="0" borderId="1" xfId="0" applyNumberFormat="1" applyFont="1" applyBorder="1" applyAlignment="1">
      <alignment horizontal="right" vertical="center" wrapText="1"/>
    </xf>
    <xf numFmtId="0" fontId="23" fillId="9" borderId="1" xfId="0" applyFont="1" applyFill="1" applyBorder="1" applyAlignment="1">
      <alignment vertical="center"/>
    </xf>
    <xf numFmtId="0" fontId="2" fillId="0" borderId="2" xfId="0" applyFont="1" applyBorder="1" applyAlignment="1">
      <alignment vertical="center" wrapText="1"/>
    </xf>
    <xf numFmtId="6" fontId="2" fillId="0" borderId="13" xfId="0" applyNumberFormat="1" applyFont="1" applyBorder="1" applyAlignment="1">
      <alignment horizontal="right" vertical="center" wrapText="1"/>
    </xf>
    <xf numFmtId="6" fontId="2" fillId="0" borderId="23" xfId="0" applyNumberFormat="1" applyFont="1" applyBorder="1" applyAlignment="1">
      <alignment horizontal="right" vertical="center" wrapText="1"/>
    </xf>
    <xf numFmtId="0" fontId="2" fillId="0" borderId="1" xfId="0" applyFont="1" applyBorder="1" applyAlignment="1">
      <alignment horizontal="left" vertical="center" wrapText="1"/>
    </xf>
    <xf numFmtId="0" fontId="2" fillId="0" borderId="1" xfId="0" applyFont="1" applyBorder="1" applyAlignment="1">
      <alignment vertical="top"/>
    </xf>
    <xf numFmtId="0" fontId="2" fillId="0" borderId="1" xfId="0" applyFont="1" applyBorder="1" applyAlignment="1">
      <alignment vertical="top" wrapText="1"/>
    </xf>
    <xf numFmtId="166" fontId="2" fillId="0" borderId="1" xfId="0" applyNumberFormat="1" applyFont="1" applyBorder="1"/>
    <xf numFmtId="0" fontId="2" fillId="0" borderId="3" xfId="0" applyFont="1" applyBorder="1"/>
    <xf numFmtId="0" fontId="2" fillId="0" borderId="10" xfId="0" applyFont="1" applyBorder="1"/>
    <xf numFmtId="0" fontId="2" fillId="0" borderId="1" xfId="0" applyFont="1" applyBorder="1" applyAlignment="1">
      <alignment vertical="center"/>
    </xf>
    <xf numFmtId="8" fontId="2" fillId="0" borderId="1" xfId="0" applyNumberFormat="1" applyFont="1" applyBorder="1" applyAlignment="1">
      <alignment horizontal="right" vertical="center"/>
    </xf>
    <xf numFmtId="0" fontId="2" fillId="0" borderId="1" xfId="0" applyFont="1" applyBorder="1" applyAlignment="1">
      <alignment horizontal="right" vertical="center"/>
    </xf>
    <xf numFmtId="0" fontId="0" fillId="0" borderId="2" xfId="0" applyBorder="1"/>
    <xf numFmtId="0" fontId="23" fillId="9" borderId="1" xfId="0" applyFont="1" applyFill="1" applyBorder="1" applyAlignment="1">
      <alignment horizontal="right" vertical="top" wrapText="1"/>
    </xf>
    <xf numFmtId="167" fontId="2" fillId="0" borderId="1" xfId="0" applyNumberFormat="1" applyFont="1" applyBorder="1" applyAlignment="1">
      <alignment horizontal="right" vertical="center" wrapText="1"/>
    </xf>
    <xf numFmtId="168" fontId="2" fillId="0" borderId="1" xfId="0" applyNumberFormat="1" applyFont="1" applyBorder="1" applyAlignment="1">
      <alignment horizontal="right" vertical="center" wrapText="1"/>
    </xf>
    <xf numFmtId="0" fontId="12" fillId="0" borderId="29" xfId="3" applyFill="1" applyBorder="1" applyAlignment="1" applyProtection="1"/>
    <xf numFmtId="0" fontId="14" fillId="0" borderId="9" xfId="5" applyBorder="1" applyProtection="1"/>
    <xf numFmtId="0" fontId="0" fillId="3" borderId="1" xfId="0" applyFill="1" applyBorder="1"/>
    <xf numFmtId="1" fontId="0" fillId="3" borderId="1" xfId="0" applyNumberFormat="1" applyFill="1" applyBorder="1"/>
    <xf numFmtId="0" fontId="15" fillId="10" borderId="30" xfId="0" applyFont="1" applyFill="1" applyBorder="1"/>
    <xf numFmtId="0" fontId="15" fillId="10" borderId="31" xfId="0" applyFont="1" applyFill="1" applyBorder="1" applyAlignment="1">
      <alignment horizontal="left"/>
    </xf>
    <xf numFmtId="0" fontId="15" fillId="7" borderId="1" xfId="0" applyFont="1" applyFill="1" applyBorder="1" applyAlignment="1">
      <alignment horizontal="right"/>
    </xf>
    <xf numFmtId="0" fontId="15" fillId="11" borderId="1" xfId="0" applyFont="1" applyFill="1" applyBorder="1" applyAlignment="1">
      <alignment horizontal="center"/>
    </xf>
    <xf numFmtId="0" fontId="27" fillId="0" borderId="9" xfId="0" quotePrefix="1" applyFont="1" applyBorder="1" applyAlignment="1">
      <alignment vertical="top"/>
    </xf>
    <xf numFmtId="165" fontId="0" fillId="3" borderId="1" xfId="0" applyNumberFormat="1" applyFill="1" applyBorder="1"/>
    <xf numFmtId="0" fontId="15" fillId="10" borderId="1" xfId="0" applyFont="1" applyFill="1" applyBorder="1" applyAlignment="1">
      <alignment horizontal="center" vertical="center" wrapText="1"/>
    </xf>
    <xf numFmtId="0" fontId="16" fillId="7" borderId="1" xfId="0" applyFont="1" applyFill="1" applyBorder="1" applyAlignment="1">
      <alignment horizontal="right"/>
    </xf>
    <xf numFmtId="0" fontId="16" fillId="7" borderId="17" xfId="0" applyFont="1" applyFill="1" applyBorder="1" applyAlignment="1">
      <alignment horizontal="right"/>
    </xf>
    <xf numFmtId="0" fontId="16" fillId="7" borderId="22" xfId="0" applyFont="1" applyFill="1" applyBorder="1" applyAlignment="1">
      <alignment horizontal="right"/>
    </xf>
    <xf numFmtId="0" fontId="16" fillId="7" borderId="15" xfId="0" applyFont="1" applyFill="1" applyBorder="1" applyAlignment="1">
      <alignment horizontal="right"/>
    </xf>
    <xf numFmtId="0" fontId="16" fillId="7" borderId="15" xfId="0" applyFont="1" applyFill="1" applyBorder="1"/>
    <xf numFmtId="0" fontId="16" fillId="7" borderId="16" xfId="0" applyFont="1" applyFill="1" applyBorder="1"/>
    <xf numFmtId="0" fontId="16" fillId="7" borderId="16" xfId="0" applyFont="1" applyFill="1" applyBorder="1" applyAlignment="1">
      <alignment horizontal="right"/>
    </xf>
    <xf numFmtId="0" fontId="16" fillId="7" borderId="23" xfId="0" applyFont="1" applyFill="1" applyBorder="1" applyAlignment="1">
      <alignment horizontal="right"/>
    </xf>
    <xf numFmtId="0" fontId="16" fillId="7" borderId="15" xfId="0" applyFont="1" applyFill="1" applyBorder="1" applyAlignment="1">
      <alignment horizontal="left"/>
    </xf>
    <xf numFmtId="0" fontId="16" fillId="7" borderId="1" xfId="0" applyFont="1" applyFill="1" applyBorder="1" applyAlignment="1">
      <alignment vertical="top" wrapText="1"/>
    </xf>
    <xf numFmtId="0" fontId="16" fillId="7" borderId="1" xfId="0" applyFont="1" applyFill="1" applyBorder="1"/>
    <xf numFmtId="0" fontId="16" fillId="7" borderId="1" xfId="0" applyFont="1" applyFill="1" applyBorder="1" applyAlignment="1">
      <alignment wrapText="1"/>
    </xf>
    <xf numFmtId="9" fontId="9" fillId="2" borderId="1" xfId="0" applyNumberFormat="1" applyFont="1" applyFill="1" applyBorder="1"/>
    <xf numFmtId="6" fontId="9" fillId="2" borderId="1" xfId="0" applyNumberFormat="1" applyFont="1" applyFill="1" applyBorder="1"/>
    <xf numFmtId="1" fontId="0" fillId="3" borderId="3" xfId="0" applyNumberFormat="1" applyFill="1" applyBorder="1" applyAlignment="1">
      <alignment horizontal="right"/>
    </xf>
    <xf numFmtId="0" fontId="0" fillId="3" borderId="3" xfId="0" applyFill="1" applyBorder="1" applyAlignment="1">
      <alignment horizontal="right"/>
    </xf>
    <xf numFmtId="165" fontId="2" fillId="0" borderId="1" xfId="0" applyNumberFormat="1" applyFont="1" applyBorder="1"/>
    <xf numFmtId="164" fontId="2" fillId="0" borderId="1" xfId="0" applyNumberFormat="1" applyFont="1" applyBorder="1" applyAlignment="1">
      <alignment horizontal="right"/>
    </xf>
    <xf numFmtId="0" fontId="6" fillId="12" borderId="0" xfId="0" applyFont="1" applyFill="1"/>
    <xf numFmtId="0" fontId="6" fillId="12" borderId="23" xfId="0" applyFont="1" applyFill="1" applyBorder="1"/>
    <xf numFmtId="0" fontId="6" fillId="12" borderId="4" xfId="0" applyFont="1" applyFill="1" applyBorder="1"/>
    <xf numFmtId="0" fontId="6" fillId="12" borderId="6" xfId="0" applyFont="1" applyFill="1" applyBorder="1"/>
    <xf numFmtId="0" fontId="0" fillId="4" borderId="13" xfId="0" applyFill="1" applyBorder="1" applyAlignment="1">
      <alignment vertical="top" wrapText="1"/>
    </xf>
    <xf numFmtId="165" fontId="0" fillId="4" borderId="13" xfId="0" applyNumberFormat="1" applyFill="1" applyBorder="1" applyAlignment="1">
      <alignment vertical="top" wrapText="1"/>
    </xf>
    <xf numFmtId="0" fontId="0" fillId="12" borderId="1" xfId="0" applyFill="1" applyBorder="1" applyAlignment="1">
      <alignment vertical="top" wrapText="1"/>
    </xf>
    <xf numFmtId="8" fontId="0" fillId="12" borderId="1" xfId="0" applyNumberFormat="1" applyFill="1" applyBorder="1" applyAlignment="1">
      <alignment vertical="top" wrapText="1"/>
    </xf>
    <xf numFmtId="6" fontId="0" fillId="4" borderId="1" xfId="0" applyNumberFormat="1" applyFill="1" applyBorder="1" applyAlignment="1">
      <alignment vertical="top" wrapText="1"/>
    </xf>
    <xf numFmtId="0" fontId="12" fillId="0" borderId="0" xfId="3" applyFill="1" applyBorder="1" applyAlignment="1" applyProtection="1"/>
    <xf numFmtId="0" fontId="14" fillId="0" borderId="0" xfId="5" applyBorder="1" applyProtection="1"/>
    <xf numFmtId="165" fontId="9" fillId="2" borderId="2" xfId="0" applyNumberFormat="1" applyFont="1" applyFill="1" applyBorder="1"/>
    <xf numFmtId="165" fontId="9" fillId="2" borderId="20" xfId="0" applyNumberFormat="1" applyFont="1" applyFill="1" applyBorder="1"/>
    <xf numFmtId="165" fontId="9" fillId="2" borderId="15" xfId="0" applyNumberFormat="1" applyFont="1" applyFill="1" applyBorder="1"/>
    <xf numFmtId="165" fontId="9" fillId="2" borderId="1" xfId="0" applyNumberFormat="1" applyFont="1" applyFill="1" applyBorder="1"/>
    <xf numFmtId="0" fontId="14" fillId="12" borderId="0" xfId="5" applyFill="1" applyBorder="1" applyProtection="1"/>
    <xf numFmtId="167" fontId="0" fillId="4" borderId="1" xfId="0" applyNumberFormat="1" applyFill="1" applyBorder="1" applyAlignment="1">
      <alignment vertical="top" wrapText="1"/>
    </xf>
    <xf numFmtId="164" fontId="0" fillId="4" borderId="1" xfId="0" applyNumberFormat="1" applyFill="1" applyBorder="1"/>
    <xf numFmtId="169" fontId="0" fillId="4" borderId="1" xfId="0" applyNumberFormat="1" applyFill="1" applyBorder="1"/>
    <xf numFmtId="166" fontId="0" fillId="4" borderId="1" xfId="0" applyNumberFormat="1" applyFill="1" applyBorder="1"/>
    <xf numFmtId="2" fontId="0" fillId="3" borderId="1" xfId="0" applyNumberFormat="1" applyFill="1" applyBorder="1"/>
    <xf numFmtId="0" fontId="14" fillId="4" borderId="9" xfId="5" applyFill="1" applyBorder="1" applyProtection="1"/>
    <xf numFmtId="0" fontId="0" fillId="4" borderId="9" xfId="0" applyFill="1" applyBorder="1"/>
    <xf numFmtId="0" fontId="0" fillId="4" borderId="10" xfId="0" applyFill="1" applyBorder="1"/>
    <xf numFmtId="0" fontId="0" fillId="4" borderId="11" xfId="0" applyFill="1" applyBorder="1"/>
    <xf numFmtId="0" fontId="0" fillId="4" borderId="19" xfId="0" applyFill="1" applyBorder="1"/>
    <xf numFmtId="0" fontId="0" fillId="4" borderId="12" xfId="0" applyFill="1" applyBorder="1"/>
    <xf numFmtId="0" fontId="0" fillId="13" borderId="32" xfId="8" applyFont="1"/>
    <xf numFmtId="0" fontId="0" fillId="13" borderId="32" xfId="8" applyFont="1" applyAlignment="1">
      <alignment vertical="top"/>
    </xf>
    <xf numFmtId="0" fontId="0" fillId="13" borderId="32" xfId="8" applyFont="1" applyAlignment="1"/>
    <xf numFmtId="0" fontId="0" fillId="13" borderId="32" xfId="8" applyFont="1" applyAlignment="1">
      <alignment wrapText="1"/>
    </xf>
    <xf numFmtId="0" fontId="9" fillId="2" borderId="1" xfId="0" applyFont="1" applyFill="1" applyBorder="1"/>
    <xf numFmtId="6" fontId="10" fillId="14" borderId="0" xfId="0" applyNumberFormat="1" applyFont="1" applyFill="1"/>
    <xf numFmtId="170" fontId="9" fillId="3" borderId="16" xfId="2" applyNumberFormat="1" applyFont="1" applyFill="1" applyBorder="1"/>
    <xf numFmtId="43" fontId="9" fillId="3" borderId="17" xfId="9" applyFont="1" applyFill="1" applyBorder="1"/>
    <xf numFmtId="0" fontId="16" fillId="7" borderId="20" xfId="0" applyFont="1" applyFill="1" applyBorder="1" applyAlignment="1">
      <alignment horizontal="right"/>
    </xf>
    <xf numFmtId="0" fontId="16" fillId="7" borderId="20" xfId="0" applyFont="1" applyFill="1" applyBorder="1" applyAlignment="1">
      <alignment horizontal="right" wrapText="1"/>
    </xf>
    <xf numFmtId="0" fontId="16" fillId="7" borderId="0" xfId="0" applyFont="1" applyFill="1" applyAlignment="1">
      <alignment horizontal="right" wrapText="1"/>
    </xf>
    <xf numFmtId="165" fontId="9" fillId="2" borderId="1" xfId="2" applyNumberFormat="1" applyFont="1" applyFill="1" applyBorder="1"/>
    <xf numFmtId="6" fontId="9" fillId="2" borderId="20" xfId="0" applyNumberFormat="1" applyFont="1" applyFill="1" applyBorder="1"/>
    <xf numFmtId="6" fontId="0" fillId="3" borderId="1" xfId="0" applyNumberFormat="1" applyFill="1" applyBorder="1"/>
    <xf numFmtId="0" fontId="19" fillId="5" borderId="4" xfId="0" applyFont="1" applyFill="1" applyBorder="1" applyAlignment="1">
      <alignment wrapText="1"/>
    </xf>
    <xf numFmtId="0" fontId="19" fillId="14" borderId="4" xfId="0" applyFont="1" applyFill="1" applyBorder="1" applyAlignment="1">
      <alignment wrapText="1"/>
    </xf>
    <xf numFmtId="165" fontId="10" fillId="14" borderId="1" xfId="2" applyNumberFormat="1" applyFont="1" applyFill="1" applyBorder="1"/>
    <xf numFmtId="0" fontId="19" fillId="3" borderId="4" xfId="0" applyFont="1" applyFill="1" applyBorder="1" applyAlignment="1">
      <alignment wrapText="1"/>
    </xf>
    <xf numFmtId="6" fontId="0" fillId="3" borderId="16" xfId="0" applyNumberFormat="1" applyFill="1" applyBorder="1"/>
    <xf numFmtId="6" fontId="10" fillId="14" borderId="16" xfId="0" applyNumberFormat="1" applyFont="1" applyFill="1" applyBorder="1"/>
    <xf numFmtId="6" fontId="0" fillId="3" borderId="17" xfId="0" applyNumberFormat="1" applyFill="1" applyBorder="1"/>
    <xf numFmtId="165" fontId="0" fillId="3" borderId="13" xfId="0" applyNumberFormat="1" applyFill="1" applyBorder="1"/>
    <xf numFmtId="0" fontId="0" fillId="3" borderId="23" xfId="0" applyFill="1" applyBorder="1"/>
    <xf numFmtId="14" fontId="0" fillId="3" borderId="6" xfId="0" applyNumberFormat="1" applyFill="1" applyBorder="1"/>
    <xf numFmtId="0" fontId="32" fillId="0" borderId="0" xfId="0" applyFont="1"/>
    <xf numFmtId="164" fontId="0" fillId="0" borderId="0" xfId="0" applyNumberFormat="1"/>
    <xf numFmtId="1" fontId="0" fillId="0" borderId="0" xfId="0" applyNumberFormat="1"/>
    <xf numFmtId="171" fontId="11" fillId="0" borderId="0" xfId="9" applyNumberFormat="1" applyFont="1"/>
    <xf numFmtId="171" fontId="0" fillId="0" borderId="0" xfId="0" applyNumberFormat="1"/>
    <xf numFmtId="43" fontId="0" fillId="0" borderId="0" xfId="0" applyNumberFormat="1"/>
    <xf numFmtId="0" fontId="32" fillId="0" borderId="0" xfId="0" applyFont="1" applyAlignment="1">
      <alignment horizontal="left"/>
    </xf>
    <xf numFmtId="171" fontId="0" fillId="0" borderId="0" xfId="9" applyNumberFormat="1" applyFont="1"/>
    <xf numFmtId="172" fontId="0" fillId="0" borderId="0" xfId="9" applyNumberFormat="1" applyFont="1"/>
    <xf numFmtId="0" fontId="16" fillId="7" borderId="3" xfId="0" applyFont="1" applyFill="1" applyBorder="1" applyAlignment="1">
      <alignment vertical="top" wrapText="1"/>
    </xf>
    <xf numFmtId="0" fontId="16" fillId="7" borderId="33" xfId="0" applyFont="1" applyFill="1" applyBorder="1" applyAlignment="1">
      <alignment horizontal="center" vertical="top" wrapText="1"/>
    </xf>
    <xf numFmtId="0" fontId="16" fillId="7" borderId="34" xfId="0" applyFont="1" applyFill="1" applyBorder="1" applyAlignment="1">
      <alignment horizontal="center" vertical="top" wrapText="1"/>
    </xf>
    <xf numFmtId="8" fontId="0" fillId="12" borderId="20" xfId="0" applyNumberFormat="1" applyFill="1" applyBorder="1" applyAlignment="1">
      <alignment vertical="top" wrapText="1"/>
    </xf>
    <xf numFmtId="0" fontId="0" fillId="0" borderId="35" xfId="0" applyBorder="1"/>
    <xf numFmtId="171" fontId="0" fillId="0" borderId="35" xfId="9" applyNumberFormat="1" applyFont="1" applyBorder="1" applyAlignment="1">
      <alignment horizontal="center" vertical="center"/>
    </xf>
    <xf numFmtId="2" fontId="0" fillId="4" borderId="1" xfId="0" applyNumberFormat="1" applyFill="1" applyBorder="1" applyAlignment="1">
      <alignment horizontal="right" vertical="top" wrapText="1"/>
    </xf>
    <xf numFmtId="0" fontId="0" fillId="0" borderId="1" xfId="0" applyBorder="1"/>
    <xf numFmtId="171" fontId="0" fillId="0" borderId="1" xfId="9" applyNumberFormat="1" applyFont="1" applyBorder="1" applyAlignment="1">
      <alignment horizontal="center" vertical="center"/>
    </xf>
    <xf numFmtId="2" fontId="0" fillId="4" borderId="1" xfId="0" applyNumberFormat="1" applyFill="1" applyBorder="1" applyAlignment="1">
      <alignment vertical="top"/>
    </xf>
    <xf numFmtId="2" fontId="0" fillId="4" borderId="1" xfId="0" applyNumberFormat="1" applyFill="1" applyBorder="1" applyAlignment="1">
      <alignment horizontal="left" vertical="top" wrapText="1"/>
    </xf>
    <xf numFmtId="2" fontId="0" fillId="4" borderId="1" xfId="0" applyNumberFormat="1" applyFill="1" applyBorder="1" applyAlignment="1">
      <alignment vertical="top" wrapText="1"/>
    </xf>
    <xf numFmtId="171" fontId="0" fillId="0" borderId="0" xfId="9" applyNumberFormat="1" applyFont="1" applyBorder="1"/>
    <xf numFmtId="1" fontId="0" fillId="4" borderId="1" xfId="0" applyNumberFormat="1" applyFill="1" applyBorder="1" applyAlignment="1">
      <alignment vertical="top" wrapText="1"/>
    </xf>
    <xf numFmtId="0" fontId="0" fillId="0" borderId="5" xfId="0" applyBorder="1"/>
    <xf numFmtId="0" fontId="0" fillId="0" borderId="14" xfId="0" applyBorder="1"/>
    <xf numFmtId="171" fontId="0" fillId="0" borderId="14" xfId="9" applyNumberFormat="1" applyFont="1" applyBorder="1"/>
    <xf numFmtId="0" fontId="0" fillId="0" borderId="6" xfId="0" applyBorder="1"/>
    <xf numFmtId="173" fontId="0" fillId="4" borderId="1" xfId="0" applyNumberFormat="1" applyFill="1" applyBorder="1" applyAlignment="1">
      <alignment vertical="top" wrapText="1"/>
    </xf>
    <xf numFmtId="2" fontId="9" fillId="2" borderId="2" xfId="0" applyNumberFormat="1" applyFont="1" applyFill="1" applyBorder="1"/>
    <xf numFmtId="174" fontId="9" fillId="2" borderId="2" xfId="0" applyNumberFormat="1" applyFont="1" applyFill="1" applyBorder="1"/>
    <xf numFmtId="0" fontId="31" fillId="0" borderId="0" xfId="0" applyFont="1"/>
    <xf numFmtId="0" fontId="0" fillId="0" borderId="0" xfId="0" applyAlignment="1">
      <alignment horizontal="center"/>
    </xf>
    <xf numFmtId="0" fontId="0" fillId="0" borderId="0" xfId="0" applyAlignment="1">
      <alignment horizontal="center" vertical="center"/>
    </xf>
    <xf numFmtId="0" fontId="0" fillId="0" borderId="14" xfId="0" applyBorder="1" applyAlignment="1">
      <alignment horizontal="center" vertical="center"/>
    </xf>
    <xf numFmtId="0" fontId="16" fillId="7" borderId="22" xfId="0" applyFont="1" applyFill="1" applyBorder="1" applyAlignment="1">
      <alignment vertical="top" wrapText="1"/>
    </xf>
    <xf numFmtId="49" fontId="0" fillId="0" borderId="0" xfId="0" applyNumberFormat="1" applyAlignment="1">
      <alignment horizontal="center"/>
    </xf>
    <xf numFmtId="0" fontId="0" fillId="0" borderId="0" xfId="0" applyAlignment="1">
      <alignment horizontal="center" wrapText="1"/>
    </xf>
    <xf numFmtId="49" fontId="0" fillId="0" borderId="0" xfId="0" applyNumberFormat="1"/>
    <xf numFmtId="2" fontId="0" fillId="0" borderId="0" xfId="0" applyNumberFormat="1"/>
    <xf numFmtId="49" fontId="31" fillId="0" borderId="0" xfId="0" applyNumberFormat="1" applyFont="1"/>
    <xf numFmtId="0" fontId="32" fillId="0" borderId="18" xfId="0" applyFont="1" applyBorder="1"/>
    <xf numFmtId="0" fontId="33" fillId="16" borderId="22" xfId="0" applyFont="1" applyFill="1" applyBorder="1" applyAlignment="1">
      <alignment horizontal="center" vertical="center" wrapText="1"/>
    </xf>
    <xf numFmtId="0" fontId="33" fillId="16" borderId="37" xfId="0" applyFont="1" applyFill="1" applyBorder="1" applyAlignment="1">
      <alignment horizontal="center" vertical="center" wrapText="1"/>
    </xf>
    <xf numFmtId="0" fontId="18" fillId="17" borderId="21" xfId="0" applyFont="1" applyFill="1" applyBorder="1" applyAlignment="1">
      <alignment horizontal="center"/>
    </xf>
    <xf numFmtId="44" fontId="18" fillId="17" borderId="21" xfId="0" applyNumberFormat="1" applyFont="1" applyFill="1" applyBorder="1"/>
    <xf numFmtId="44" fontId="18" fillId="17" borderId="10" xfId="0" applyNumberFormat="1" applyFont="1" applyFill="1" applyBorder="1"/>
    <xf numFmtId="0" fontId="18" fillId="0" borderId="9" xfId="0" applyFont="1" applyBorder="1"/>
    <xf numFmtId="0" fontId="18" fillId="0" borderId="0" xfId="0" applyFont="1"/>
    <xf numFmtId="0" fontId="18" fillId="0" borderId="21" xfId="0" applyFont="1" applyBorder="1" applyAlignment="1">
      <alignment horizontal="center"/>
    </xf>
    <xf numFmtId="44" fontId="18" fillId="0" borderId="21" xfId="0" applyNumberFormat="1" applyFont="1" applyBorder="1"/>
    <xf numFmtId="44" fontId="18" fillId="0" borderId="10" xfId="0" applyNumberFormat="1" applyFont="1" applyBorder="1"/>
    <xf numFmtId="0" fontId="18" fillId="0" borderId="11" xfId="0" applyFont="1" applyBorder="1"/>
    <xf numFmtId="0" fontId="18" fillId="0" borderId="38" xfId="0" applyFont="1" applyBorder="1" applyAlignment="1">
      <alignment horizontal="center"/>
    </xf>
    <xf numFmtId="44" fontId="18" fillId="0" borderId="38" xfId="0" applyNumberFormat="1" applyFont="1" applyBorder="1"/>
    <xf numFmtId="44" fontId="18" fillId="0" borderId="12" xfId="0" applyNumberFormat="1" applyFont="1" applyBorder="1"/>
    <xf numFmtId="44" fontId="0" fillId="0" borderId="0" xfId="0" applyNumberFormat="1"/>
    <xf numFmtId="0" fontId="18" fillId="16" borderId="40" xfId="0" applyFont="1" applyFill="1" applyBorder="1" applyAlignment="1">
      <alignment horizontal="center" wrapText="1"/>
    </xf>
    <xf numFmtId="0" fontId="18" fillId="16" borderId="41" xfId="0" applyFont="1" applyFill="1" applyBorder="1" applyAlignment="1">
      <alignment horizontal="center" wrapText="1"/>
    </xf>
    <xf numFmtId="0" fontId="18" fillId="16" borderId="42" xfId="0" applyFont="1" applyFill="1" applyBorder="1" applyAlignment="1">
      <alignment horizontal="center" wrapText="1"/>
    </xf>
    <xf numFmtId="0" fontId="18" fillId="16" borderId="43" xfId="0" applyFont="1" applyFill="1" applyBorder="1" applyAlignment="1">
      <alignment horizontal="center" wrapText="1"/>
    </xf>
    <xf numFmtId="0" fontId="18" fillId="0" borderId="40" xfId="0" applyFont="1" applyBorder="1" applyAlignment="1">
      <alignment horizontal="center"/>
    </xf>
    <xf numFmtId="0" fontId="18" fillId="0" borderId="41" xfId="0" applyFont="1" applyBorder="1" applyAlignment="1">
      <alignment horizontal="center"/>
    </xf>
    <xf numFmtId="0" fontId="18" fillId="0" borderId="42" xfId="0" applyFont="1" applyBorder="1" applyAlignment="1">
      <alignment horizontal="center"/>
    </xf>
    <xf numFmtId="164" fontId="18" fillId="0" borderId="42" xfId="0" applyNumberFormat="1" applyFont="1" applyBorder="1" applyAlignment="1">
      <alignment horizontal="center"/>
    </xf>
    <xf numFmtId="0" fontId="18" fillId="0" borderId="43" xfId="0" applyFont="1" applyBorder="1" applyAlignment="1">
      <alignment horizontal="center"/>
    </xf>
    <xf numFmtId="0" fontId="34" fillId="0" borderId="40" xfId="0" applyFont="1" applyBorder="1" applyAlignment="1">
      <alignment horizontal="center" wrapText="1"/>
    </xf>
    <xf numFmtId="0" fontId="34" fillId="0" borderId="11" xfId="0" applyFont="1" applyBorder="1" applyAlignment="1">
      <alignment horizontal="center" wrapText="1"/>
    </xf>
    <xf numFmtId="0" fontId="18" fillId="0" borderId="39" xfId="0" applyFont="1" applyBorder="1" applyAlignment="1">
      <alignment horizontal="center"/>
    </xf>
    <xf numFmtId="164" fontId="18" fillId="0" borderId="38" xfId="0" applyNumberFormat="1" applyFont="1" applyBorder="1" applyAlignment="1">
      <alignment horizontal="center"/>
    </xf>
    <xf numFmtId="0" fontId="18" fillId="0" borderId="12" xfId="0" applyFont="1" applyBorder="1" applyAlignment="1">
      <alignment horizontal="center"/>
    </xf>
    <xf numFmtId="0" fontId="35" fillId="16" borderId="20" xfId="0" applyFont="1" applyFill="1" applyBorder="1" applyAlignment="1">
      <alignment horizontal="center" wrapText="1"/>
    </xf>
    <xf numFmtId="0" fontId="35" fillId="16" borderId="20" xfId="0" applyFont="1" applyFill="1" applyBorder="1" applyAlignment="1">
      <alignment horizontal="center"/>
    </xf>
    <xf numFmtId="0" fontId="35" fillId="16" borderId="23" xfId="0" applyFont="1" applyFill="1" applyBorder="1" applyAlignment="1">
      <alignment horizontal="center" wrapText="1"/>
    </xf>
    <xf numFmtId="0" fontId="34" fillId="0" borderId="21" xfId="0" applyFont="1" applyBorder="1" applyAlignment="1">
      <alignment horizontal="center"/>
    </xf>
    <xf numFmtId="170" fontId="34" fillId="0" borderId="21" xfId="2" applyNumberFormat="1" applyFont="1" applyBorder="1"/>
    <xf numFmtId="0" fontId="34" fillId="0" borderId="21" xfId="0" applyFont="1" applyBorder="1"/>
    <xf numFmtId="170" fontId="34" fillId="0" borderId="4" xfId="2" applyNumberFormat="1" applyFont="1" applyBorder="1"/>
    <xf numFmtId="42" fontId="34" fillId="0" borderId="21" xfId="2" applyNumberFormat="1" applyFont="1" applyBorder="1"/>
    <xf numFmtId="0" fontId="0" fillId="4" borderId="22" xfId="0" applyFill="1" applyBorder="1" applyAlignment="1">
      <alignment horizontal="center"/>
    </xf>
    <xf numFmtId="0" fontId="35" fillId="15" borderId="22" xfId="0" applyFont="1" applyFill="1" applyBorder="1" applyAlignment="1">
      <alignment horizontal="center"/>
    </xf>
    <xf numFmtId="0" fontId="36" fillId="15" borderId="22" xfId="0" applyFont="1" applyFill="1" applyBorder="1"/>
    <xf numFmtId="170" fontId="35" fillId="15" borderId="22" xfId="2" applyNumberFormat="1" applyFont="1" applyFill="1" applyBorder="1"/>
    <xf numFmtId="0" fontId="38" fillId="16" borderId="9" xfId="0" applyFont="1" applyFill="1" applyBorder="1" applyAlignment="1">
      <alignment horizontal="center"/>
    </xf>
    <xf numFmtId="0" fontId="18" fillId="16" borderId="21" xfId="0" applyFont="1" applyFill="1" applyBorder="1" applyAlignment="1">
      <alignment horizontal="center"/>
    </xf>
    <xf numFmtId="0" fontId="18" fillId="16" borderId="10" xfId="0" applyFont="1" applyFill="1" applyBorder="1" applyAlignment="1">
      <alignment horizontal="center"/>
    </xf>
    <xf numFmtId="0" fontId="18" fillId="0" borderId="44" xfId="0" applyFont="1" applyBorder="1"/>
    <xf numFmtId="0" fontId="18" fillId="0" borderId="45" xfId="0" applyFont="1" applyBorder="1"/>
    <xf numFmtId="0" fontId="18" fillId="0" borderId="46" xfId="0" applyFont="1" applyBorder="1"/>
    <xf numFmtId="0" fontId="18" fillId="0" borderId="47" xfId="0" applyFont="1" applyBorder="1"/>
    <xf numFmtId="0" fontId="18" fillId="0" borderId="1" xfId="0" applyFont="1" applyBorder="1"/>
    <xf numFmtId="0" fontId="18" fillId="0" borderId="48" xfId="0" applyFont="1" applyBorder="1"/>
    <xf numFmtId="0" fontId="38" fillId="16" borderId="9" xfId="0" applyFont="1" applyFill="1" applyBorder="1"/>
    <xf numFmtId="0" fontId="18" fillId="0" borderId="21" xfId="0" applyFont="1" applyBorder="1"/>
    <xf numFmtId="0" fontId="18" fillId="0" borderId="10" xfId="0" applyFont="1" applyBorder="1"/>
    <xf numFmtId="0" fontId="18" fillId="0" borderId="38" xfId="0" applyFont="1" applyBorder="1"/>
    <xf numFmtId="0" fontId="18" fillId="0" borderId="12" xfId="0" applyFont="1" applyBorder="1"/>
    <xf numFmtId="0" fontId="37" fillId="0" borderId="0" xfId="0" applyFont="1"/>
    <xf numFmtId="0" fontId="38" fillId="16" borderId="7" xfId="0" applyFont="1" applyFill="1" applyBorder="1"/>
    <xf numFmtId="0" fontId="38" fillId="16" borderId="49" xfId="0" applyFont="1" applyFill="1" applyBorder="1" applyAlignment="1">
      <alignment horizontal="center"/>
    </xf>
    <xf numFmtId="44" fontId="18" fillId="0" borderId="21" xfId="9" applyNumberFormat="1" applyFont="1" applyBorder="1"/>
    <xf numFmtId="44" fontId="18" fillId="0" borderId="38" xfId="9" applyNumberFormat="1" applyFont="1" applyBorder="1"/>
    <xf numFmtId="42" fontId="9" fillId="2" borderId="2" xfId="0" applyNumberFormat="1" applyFont="1" applyFill="1" applyBorder="1"/>
    <xf numFmtId="170" fontId="9" fillId="2" borderId="2" xfId="0" applyNumberFormat="1" applyFont="1" applyFill="1" applyBorder="1"/>
    <xf numFmtId="43" fontId="9" fillId="2" borderId="2" xfId="0" applyNumberFormat="1" applyFont="1" applyFill="1" applyBorder="1"/>
    <xf numFmtId="0" fontId="2" fillId="0" borderId="3" xfId="0" applyFont="1" applyBorder="1" applyAlignment="1">
      <alignment horizontal="left" vertical="top"/>
    </xf>
    <xf numFmtId="0" fontId="2" fillId="0" borderId="0" xfId="0" applyFont="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14" xfId="0" applyFont="1" applyBorder="1" applyAlignment="1">
      <alignment horizontal="left" vertical="top"/>
    </xf>
    <xf numFmtId="0" fontId="2" fillId="0" borderId="6" xfId="0" applyFont="1" applyBorder="1" applyAlignment="1">
      <alignment horizontal="left" vertical="top"/>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3" fillId="9" borderId="15" xfId="0" applyFont="1" applyFill="1" applyBorder="1" applyAlignment="1">
      <alignment horizontal="center" vertical="center"/>
    </xf>
    <xf numFmtId="0" fontId="23" fillId="9" borderId="16" xfId="0" applyFont="1" applyFill="1" applyBorder="1" applyAlignment="1">
      <alignment horizontal="center" vertical="center"/>
    </xf>
    <xf numFmtId="0" fontId="23" fillId="9" borderId="17" xfId="0" applyFont="1" applyFill="1" applyBorder="1" applyAlignment="1">
      <alignment horizontal="center" vertical="center"/>
    </xf>
    <xf numFmtId="0" fontId="2" fillId="0" borderId="13" xfId="0" applyFont="1" applyBorder="1" applyAlignment="1">
      <alignment horizontal="left" vertical="center" wrapText="1"/>
    </xf>
    <xf numFmtId="0" fontId="2" fillId="0" borderId="23" xfId="0" applyFont="1" applyBorder="1" applyAlignment="1">
      <alignment horizontal="left" vertical="center" wrapText="1"/>
    </xf>
    <xf numFmtId="0" fontId="23" fillId="9" borderId="5" xfId="0" applyFont="1" applyFill="1" applyBorder="1" applyAlignment="1">
      <alignment horizontal="center" vertical="center" wrapText="1"/>
    </xf>
    <xf numFmtId="0" fontId="23" fillId="9" borderId="14" xfId="0" applyFont="1" applyFill="1" applyBorder="1" applyAlignment="1">
      <alignment horizontal="center" vertical="center" wrapText="1"/>
    </xf>
    <xf numFmtId="0" fontId="23" fillId="9" borderId="6" xfId="0" applyFont="1" applyFill="1" applyBorder="1" applyAlignment="1">
      <alignment horizontal="center" vertical="center" wrapText="1"/>
    </xf>
    <xf numFmtId="0" fontId="2" fillId="0" borderId="0" xfId="0" applyFont="1" applyAlignment="1">
      <alignment horizontal="left" vertical="top" wrapText="1"/>
    </xf>
    <xf numFmtId="0" fontId="2" fillId="0" borderId="14" xfId="0" applyFont="1" applyBorder="1" applyAlignment="1">
      <alignment horizontal="left" vertical="top" wrapText="1"/>
    </xf>
    <xf numFmtId="0" fontId="23" fillId="9" borderId="1" xfId="0" applyFont="1" applyFill="1" applyBorder="1" applyAlignment="1">
      <alignment vertical="center" wrapText="1"/>
    </xf>
    <xf numFmtId="0" fontId="23" fillId="9" borderId="1" xfId="0" applyFont="1" applyFill="1" applyBorder="1" applyAlignment="1">
      <alignment horizontal="center" vertical="center" wrapText="1"/>
    </xf>
    <xf numFmtId="0" fontId="33" fillId="18" borderId="19" xfId="0" applyFont="1" applyFill="1" applyBorder="1" applyAlignment="1">
      <alignment horizontal="center"/>
    </xf>
    <xf numFmtId="0" fontId="34" fillId="0" borderId="7" xfId="0" applyFont="1" applyBorder="1" applyAlignment="1">
      <alignment horizontal="left" wrapText="1"/>
    </xf>
    <xf numFmtId="0" fontId="18" fillId="0" borderId="18" xfId="0" applyFont="1" applyBorder="1" applyAlignment="1">
      <alignment horizontal="left"/>
    </xf>
    <xf numFmtId="0" fontId="37" fillId="18" borderId="7" xfId="0" applyFont="1" applyFill="1" applyBorder="1" applyAlignment="1">
      <alignment horizontal="center"/>
    </xf>
    <xf numFmtId="0" fontId="37" fillId="18" borderId="18" xfId="0" applyFont="1" applyFill="1" applyBorder="1" applyAlignment="1">
      <alignment horizontal="center"/>
    </xf>
    <xf numFmtId="0" fontId="37" fillId="18" borderId="8" xfId="0" applyFont="1" applyFill="1" applyBorder="1" applyAlignment="1">
      <alignment horizontal="center"/>
    </xf>
    <xf numFmtId="0" fontId="37" fillId="19" borderId="40" xfId="0" applyFont="1" applyFill="1" applyBorder="1"/>
    <xf numFmtId="0" fontId="37" fillId="19" borderId="41" xfId="0" applyFont="1" applyFill="1" applyBorder="1"/>
    <xf numFmtId="0" fontId="2" fillId="0" borderId="10" xfId="0" applyFont="1" applyBorder="1" applyAlignment="1">
      <alignment horizontal="left" vertical="top" wrapText="1"/>
    </xf>
    <xf numFmtId="0" fontId="2" fillId="0" borderId="28" xfId="0" applyFont="1" applyBorder="1" applyAlignment="1">
      <alignment horizontal="left" vertical="top" wrapText="1"/>
    </xf>
    <xf numFmtId="0" fontId="2" fillId="0" borderId="12" xfId="0" applyFont="1" applyBorder="1" applyAlignment="1">
      <alignment horizontal="left" vertical="top" wrapText="1"/>
    </xf>
    <xf numFmtId="0" fontId="22" fillId="9" borderId="1" xfId="0" applyFont="1" applyFill="1" applyBorder="1" applyAlignment="1">
      <alignment vertical="center" wrapText="1"/>
    </xf>
    <xf numFmtId="0" fontId="15" fillId="7" borderId="16" xfId="0" applyFont="1" applyFill="1" applyBorder="1" applyAlignment="1">
      <alignment horizontal="center"/>
    </xf>
    <xf numFmtId="0" fontId="15" fillId="7" borderId="17" xfId="0" applyFont="1" applyFill="1" applyBorder="1" applyAlignment="1">
      <alignment horizontal="center"/>
    </xf>
    <xf numFmtId="0" fontId="15" fillId="7" borderId="15" xfId="0" applyFont="1" applyFill="1" applyBorder="1" applyAlignment="1">
      <alignment horizontal="center"/>
    </xf>
    <xf numFmtId="0" fontId="35" fillId="15" borderId="15" xfId="0" applyFont="1" applyFill="1" applyBorder="1" applyAlignment="1">
      <alignment horizontal="center"/>
    </xf>
    <xf numFmtId="0" fontId="34" fillId="0" borderId="16" xfId="0" applyFont="1" applyBorder="1" applyAlignment="1">
      <alignment horizontal="center"/>
    </xf>
    <xf numFmtId="0" fontId="34" fillId="0" borderId="17" xfId="0" applyFont="1" applyBorder="1" applyAlignment="1">
      <alignment horizontal="center"/>
    </xf>
    <xf numFmtId="0" fontId="16" fillId="7" borderId="15" xfId="0" applyFont="1" applyFill="1" applyBorder="1" applyAlignment="1">
      <alignment horizontal="left" vertical="top" wrapText="1"/>
    </xf>
    <xf numFmtId="0" fontId="16" fillId="7" borderId="16" xfId="0" applyFont="1" applyFill="1" applyBorder="1" applyAlignment="1">
      <alignment horizontal="left" vertical="top" wrapText="1"/>
    </xf>
    <xf numFmtId="0" fontId="16" fillId="7" borderId="17" xfId="0" applyFont="1" applyFill="1" applyBorder="1" applyAlignment="1">
      <alignment horizontal="left" vertical="top" wrapText="1"/>
    </xf>
    <xf numFmtId="0" fontId="16" fillId="18" borderId="9" xfId="0" applyFont="1" applyFill="1" applyBorder="1" applyAlignment="1">
      <alignment horizontal="center"/>
    </xf>
    <xf numFmtId="0" fontId="0" fillId="0" borderId="0" xfId="0" applyAlignment="1">
      <alignment horizontal="center"/>
    </xf>
    <xf numFmtId="0" fontId="18" fillId="0" borderId="11" xfId="0" applyFont="1" applyBorder="1"/>
    <xf numFmtId="0" fontId="18" fillId="0" borderId="19" xfId="0" applyFont="1" applyBorder="1"/>
    <xf numFmtId="0" fontId="33" fillId="15" borderId="7" xfId="0" applyFont="1" applyFill="1" applyBorder="1" applyAlignment="1">
      <alignment horizontal="center" wrapText="1"/>
    </xf>
    <xf numFmtId="0" fontId="33" fillId="15" borderId="18" xfId="0" applyFont="1" applyFill="1" applyBorder="1" applyAlignment="1">
      <alignment horizontal="center" wrapText="1"/>
    </xf>
    <xf numFmtId="0" fontId="33" fillId="15" borderId="8" xfId="0" applyFont="1" applyFill="1" applyBorder="1" applyAlignment="1">
      <alignment horizontal="center" wrapText="1"/>
    </xf>
    <xf numFmtId="0" fontId="33" fillId="16" borderId="36" xfId="0" applyFont="1" applyFill="1" applyBorder="1" applyAlignment="1">
      <alignment horizontal="center" vertical="center"/>
    </xf>
    <xf numFmtId="0" fontId="33" fillId="16" borderId="14" xfId="0" applyFont="1" applyFill="1" applyBorder="1" applyAlignment="1">
      <alignment horizontal="center" vertical="center"/>
    </xf>
    <xf numFmtId="0" fontId="18" fillId="17" borderId="50" xfId="0" applyFont="1" applyFill="1" applyBorder="1"/>
    <xf numFmtId="0" fontId="18" fillId="17" borderId="13" xfId="0" applyFont="1" applyFill="1" applyBorder="1"/>
    <xf numFmtId="0" fontId="18" fillId="17" borderId="23" xfId="0" applyFont="1" applyFill="1" applyBorder="1"/>
    <xf numFmtId="0" fontId="18" fillId="0" borderId="9" xfId="0" applyFont="1" applyBorder="1"/>
    <xf numFmtId="0" fontId="18" fillId="0" borderId="0" xfId="0" applyFont="1"/>
    <xf numFmtId="0" fontId="18" fillId="0" borderId="4" xfId="0" applyFont="1" applyBorder="1"/>
    <xf numFmtId="0" fontId="18" fillId="17" borderId="9" xfId="0" applyFont="1" applyFill="1" applyBorder="1"/>
    <xf numFmtId="0" fontId="18" fillId="17" borderId="0" xfId="0" applyFont="1" applyFill="1"/>
    <xf numFmtId="0" fontId="18" fillId="0" borderId="39" xfId="0" applyFont="1" applyBorder="1"/>
    <xf numFmtId="0" fontId="34" fillId="0" borderId="9" xfId="0" applyFont="1" applyBorder="1" applyAlignment="1">
      <alignment horizontal="left" wrapText="1"/>
    </xf>
    <xf numFmtId="0" fontId="34" fillId="0" borderId="0" xfId="0" applyFont="1" applyAlignment="1">
      <alignment horizontal="left" wrapText="1"/>
    </xf>
    <xf numFmtId="0" fontId="33" fillId="16" borderId="6" xfId="0" applyFont="1" applyFill="1" applyBorder="1" applyAlignment="1">
      <alignment horizontal="center" vertical="center"/>
    </xf>
    <xf numFmtId="0" fontId="18" fillId="17" borderId="4" xfId="0" applyFont="1" applyFill="1" applyBorder="1"/>
  </cellXfs>
  <cellStyles count="10">
    <cellStyle name="Comma" xfId="9" builtinId="3"/>
    <cellStyle name="Currency" xfId="2" builtinId="4"/>
    <cellStyle name="Heading 1" xfId="3" builtinId="16"/>
    <cellStyle name="Heading 2" xfId="4" builtinId="17"/>
    <cellStyle name="Heading 4" xfId="5" builtinId="19"/>
    <cellStyle name="Hyperlink" xfId="1" builtinId="8"/>
    <cellStyle name="Hyperlink 2" xfId="7" xr:uid="{304C8883-2D05-433A-93CD-BB7137A396C1}"/>
    <cellStyle name="Normal" xfId="0" builtinId="0"/>
    <cellStyle name="Normal 7" xfId="6" xr:uid="{39C09B7B-9AFF-4A61-96F1-6C02C073A05F}"/>
    <cellStyle name="Note" xfId="8" builtinId="10"/>
  </cellStyles>
  <dxfs count="21">
    <dxf>
      <font>
        <b val="0"/>
        <i/>
      </font>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u val="none"/>
      </font>
      <fill>
        <patternFill>
          <bgColor theme="4" tint="0.39994506668294322"/>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strike val="0"/>
        <u val="none"/>
      </font>
      <fill>
        <patternFill>
          <bgColor rgb="FFBFBFBF"/>
        </patternFill>
      </fill>
    </dxf>
  </dxfs>
  <tableStyles count="0" defaultTableStyle="TableStyleMedium2" defaultPivotStyle="PivotStyleLight16"/>
  <colors>
    <mruColors>
      <color rgb="FFA9D08E"/>
      <color rgb="FFFFFFCC"/>
      <color rgb="FFBFBFB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2.xml"/><Relationship Id="rId18" Type="http://schemas.openxmlformats.org/officeDocument/2006/relationships/worksheet" Target="worksheets/sheet17.xml"/><Relationship Id="rId3" Type="http://schemas.openxmlformats.org/officeDocument/2006/relationships/worksheet" Target="worksheets/sheet3.xml"/><Relationship Id="rId21" Type="http://schemas.openxmlformats.org/officeDocument/2006/relationships/worksheet" Target="worksheets/sheet20.xml"/><Relationship Id="rId7" Type="http://schemas.openxmlformats.org/officeDocument/2006/relationships/worksheet" Target="worksheets/sheet7.xml"/><Relationship Id="rId12" Type="http://schemas.openxmlformats.org/officeDocument/2006/relationships/worksheet" Target="worksheets/sheet11.xml"/><Relationship Id="rId17" Type="http://schemas.openxmlformats.org/officeDocument/2006/relationships/worksheet" Target="worksheets/sheet16.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5.xml"/><Relationship Id="rId20" Type="http://schemas.openxmlformats.org/officeDocument/2006/relationships/worksheet" Target="worksheets/sheet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0.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4.xml"/><Relationship Id="rId23" Type="http://schemas.openxmlformats.org/officeDocument/2006/relationships/styles" Target="styles.xml"/><Relationship Id="rId10" Type="http://schemas.openxmlformats.org/officeDocument/2006/relationships/chartsheet" Target="chartsheets/sheet1.xml"/><Relationship Id="rId19" Type="http://schemas.openxmlformats.org/officeDocument/2006/relationships/worksheet" Target="worksheets/sheet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3.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'Emissions Reduction'!$Z$65:$Z$66</c:f>
              <c:strCache>
                <c:ptCount val="2"/>
                <c:pt idx="0">
                  <c:v> MO360 to Haile St</c:v>
                </c:pt>
                <c:pt idx="1">
                  <c:v>Year</c:v>
                </c:pt>
              </c:strCache>
            </c:strRef>
          </c:tx>
          <c:spPr>
            <a:solidFill>
              <a:schemeClr val="accent1"/>
            </a:solidFill>
            <a:ln>
              <a:noFill/>
            </a:ln>
            <a:effectLst/>
          </c:spPr>
          <c:invertIfNegative val="0"/>
          <c:val>
            <c:numRef>
              <c:f>'Emissions Reduction'!$Z$67:$Z$94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val>
          <c:extLst>
            <c:ext xmlns:c16="http://schemas.microsoft.com/office/drawing/2014/chart" uri="{C3380CC4-5D6E-409C-BE32-E72D297353CC}">
              <c16:uniqueId val="{00000000-2E56-46E1-B8FC-2201F83ACA59}"/>
            </c:ext>
          </c:extLst>
        </c:ser>
        <c:ser>
          <c:idx val="1"/>
          <c:order val="1"/>
          <c:tx>
            <c:strRef>
              <c:f>'Emissions Reduction'!$AA$65:$AA$66</c:f>
              <c:strCache>
                <c:ptCount val="2"/>
                <c:pt idx="0">
                  <c:v> MO360 to Haile St</c:v>
                </c:pt>
                <c:pt idx="1">
                  <c:v>No Build</c:v>
                </c:pt>
              </c:strCache>
            </c:strRef>
          </c:tx>
          <c:spPr>
            <a:solidFill>
              <a:schemeClr val="accent2"/>
            </a:solidFill>
            <a:ln>
              <a:noFill/>
            </a:ln>
            <a:effectLst/>
          </c:spPr>
          <c:invertIfNegative val="0"/>
          <c:val>
            <c:numRef>
              <c:f>'Emissions Reduction'!$AA$67:$AA$94</c:f>
              <c:numCache>
                <c:formatCode>_(* #,##0_);_(* \(#,##0\);_(* "-"??_);_(@_)</c:formatCode>
                <c:ptCount val="28"/>
                <c:pt idx="0">
                  <c:v>8060</c:v>
                </c:pt>
                <c:pt idx="1">
                  <c:v>8240.7132600000004</c:v>
                </c:pt>
                <c:pt idx="2">
                  <c:v>8425.4782920024609</c:v>
                </c:pt>
                <c:pt idx="3">
                  <c:v>8614.3859407874479</c:v>
                </c:pt>
                <c:pt idx="4">
                  <c:v>8807.5290879658442</c:v>
                </c:pt>
                <c:pt idx="5">
                  <c:v>9005.0026976471272</c:v>
                </c:pt>
                <c:pt idx="6">
                  <c:v>9206.9038631310741</c:v>
                </c:pt>
                <c:pt idx="7">
                  <c:v>9413.3318546463361</c:v>
                </c:pt>
                <c:pt idx="8">
                  <c:v>9624.3881681593612</c:v>
                </c:pt>
                <c:pt idx="9">
                  <c:v>9840.1765752776628</c:v>
                </c:pt>
                <c:pt idx="10">
                  <c:v>10060.803174271963</c:v>
                </c:pt>
                <c:pt idx="11">
                  <c:v>10286.376442242316</c:v>
                </c:pt>
                <c:pt idx="12">
                  <c:v>10517.007288453831</c:v>
                </c:pt>
                <c:pt idx="13">
                  <c:v>10752.809108868254</c:v>
                </c:pt>
                <c:pt idx="14">
                  <c:v>10993.89784189819</c:v>
                </c:pt>
                <c:pt idx="15">
                  <c:v>11240.392025411389</c:v>
                </c:pt>
                <c:pt idx="16">
                  <c:v>11492.412855013137</c:v>
                </c:pt>
                <c:pt idx="17">
                  <c:v>11750.084243635387</c:v>
                </c:pt>
                <c:pt idx="18">
                  <c:v>12013.532882461936</c:v>
                </c:pt>
                <c:pt idx="19">
                  <c:v>12282.888303219615</c:v>
                </c:pt>
                <c:pt idx="20">
                  <c:v>12558.282941866102</c:v>
                </c:pt>
                <c:pt idx="21">
                  <c:v>12839.852203705683</c:v>
                </c:pt>
                <c:pt idx="22">
                  <c:v>13127.734529964968</c:v>
                </c:pt>
                <c:pt idx="23">
                  <c:v>13422.071465861312</c:v>
                </c:pt>
                <c:pt idx="24">
                  <c:v>13723.007730197389</c:v>
                </c:pt>
                <c:pt idx="25">
                  <c:v>14030.691286516145</c:v>
                </c:pt>
                <c:pt idx="26">
                  <c:v>14345.273415851123</c:v>
                </c:pt>
                <c:pt idx="27">
                  <c:v>14666.90879110792</c:v>
                </c:pt>
              </c:numCache>
            </c:numRef>
          </c:val>
          <c:extLst>
            <c:ext xmlns:c16="http://schemas.microsoft.com/office/drawing/2014/chart" uri="{C3380CC4-5D6E-409C-BE32-E72D297353CC}">
              <c16:uniqueId val="{00000001-2E56-46E1-B8FC-2201F83ACA59}"/>
            </c:ext>
          </c:extLst>
        </c:ser>
        <c:ser>
          <c:idx val="2"/>
          <c:order val="2"/>
          <c:tx>
            <c:strRef>
              <c:f>'Emissions Reduction'!$AB$65:$AB$66</c:f>
              <c:strCache>
                <c:ptCount val="2"/>
                <c:pt idx="0">
                  <c:v> MO360 to Haile St</c:v>
                </c:pt>
                <c:pt idx="1">
                  <c:v>Project Build</c:v>
                </c:pt>
              </c:strCache>
            </c:strRef>
          </c:tx>
          <c:spPr>
            <a:solidFill>
              <a:schemeClr val="accent3"/>
            </a:solidFill>
            <a:ln>
              <a:noFill/>
            </a:ln>
            <a:effectLst/>
          </c:spPr>
          <c:invertIfNegative val="0"/>
          <c:val>
            <c:numRef>
              <c:f>'Emissions Reduction'!$AB$67:$AB$94</c:f>
              <c:numCache>
                <c:formatCode>_(* #,##0_);_(* \(#,##0\);_(* "-"??_);_(@_)</c:formatCode>
                <c:ptCount val="28"/>
                <c:pt idx="0">
                  <c:v>8060</c:v>
                </c:pt>
                <c:pt idx="1">
                  <c:v>8328.3577000000005</c:v>
                </c:pt>
                <c:pt idx="2">
                  <c:v>8605.6503696215004</c:v>
                </c:pt>
                <c:pt idx="3">
                  <c:v>8892.1754986780488</c:v>
                </c:pt>
                <c:pt idx="4">
                  <c:v>9188.2404819065359</c:v>
                </c:pt>
                <c:pt idx="5">
                  <c:v>9494.1629487516147</c:v>
                </c:pt>
                <c:pt idx="6">
                  <c:v>9810.271104130301</c:v>
                </c:pt>
                <c:pt idx="7">
                  <c:v>10136.904080542319</c:v>
                </c:pt>
                <c:pt idx="8">
                  <c:v>10474.412301903976</c:v>
                </c:pt>
                <c:pt idx="9">
                  <c:v>10823.15785949587</c:v>
                </c:pt>
                <c:pt idx="10">
                  <c:v>11183.514900427786</c:v>
                </c:pt>
                <c:pt idx="11">
                  <c:v>11555.870029037531</c:v>
                </c:pt>
                <c:pt idx="12">
                  <c:v>11940.622721654336</c:v>
                </c:pt>
                <c:pt idx="13">
                  <c:v>12338.185755171819</c:v>
                </c:pt>
                <c:pt idx="14">
                  <c:v>12748.985649890265</c:v>
                </c:pt>
                <c:pt idx="15">
                  <c:v>13173.463127103361</c:v>
                </c:pt>
                <c:pt idx="16">
                  <c:v>13612.073581920269</c:v>
                </c:pt>
                <c:pt idx="17">
                  <c:v>14065.287571830306</c:v>
                </c:pt>
                <c:pt idx="18">
                  <c:v>14533.591321534397</c:v>
                </c:pt>
                <c:pt idx="19">
                  <c:v>15017.487244584887</c:v>
                </c:pt>
                <c:pt idx="20">
                  <c:v>15517.494482393342</c:v>
                </c:pt>
                <c:pt idx="21">
                  <c:v>16034.14946118463</c:v>
                </c:pt>
                <c:pt idx="22">
                  <c:v>16568.006467494775</c:v>
                </c:pt>
                <c:pt idx="23">
                  <c:v>17119.638242830017</c:v>
                </c:pt>
                <c:pt idx="24">
                  <c:v>17689.636598125042</c:v>
                </c:pt>
                <c:pt idx="25">
                  <c:v>18278.613048659616</c:v>
                </c:pt>
                <c:pt idx="26">
                  <c:v>18887.199470114738</c:v>
                </c:pt>
                <c:pt idx="27">
                  <c:v>19516.048776472209</c:v>
                </c:pt>
              </c:numCache>
            </c:numRef>
          </c:val>
          <c:extLst>
            <c:ext xmlns:c16="http://schemas.microsoft.com/office/drawing/2014/chart" uri="{C3380CC4-5D6E-409C-BE32-E72D297353CC}">
              <c16:uniqueId val="{00000002-2E56-46E1-B8FC-2201F83ACA59}"/>
            </c:ext>
          </c:extLst>
        </c:ser>
        <c:ser>
          <c:idx val="3"/>
          <c:order val="3"/>
          <c:tx>
            <c:strRef>
              <c:f>'Emissions Reduction'!$AC$65:$AC$66</c:f>
              <c:strCache>
                <c:ptCount val="2"/>
                <c:pt idx="0">
                  <c:v>Baseline</c:v>
                </c:pt>
                <c:pt idx="1">
                  <c:v>Daily Minutes Below Free Flow</c:v>
                </c:pt>
              </c:strCache>
            </c:strRef>
          </c:tx>
          <c:spPr>
            <a:solidFill>
              <a:schemeClr val="accent4"/>
            </a:solidFill>
            <a:ln>
              <a:noFill/>
            </a:ln>
            <a:effectLst/>
          </c:spPr>
          <c:invertIfNegative val="0"/>
          <c:val>
            <c:numRef>
              <c:f>'Emissions Reduction'!$AC$67:$AC$94</c:f>
              <c:numCache>
                <c:formatCode>_(* #,##0_);_(* \(#,##0\);_(* "-"??_);_(@_)</c:formatCode>
                <c:ptCount val="28"/>
                <c:pt idx="0">
                  <c:v>70948.821666666656</c:v>
                </c:pt>
                <c:pt idx="1">
                  <c:v>72539.565197254997</c:v>
                </c:pt>
                <c:pt idx="2">
                  <c:v>74165.974788542648</c:v>
                </c:pt>
                <c:pt idx="3">
                  <c:v>75828.85010927658</c:v>
                </c:pt>
                <c:pt idx="4">
                  <c:v>77529.008757576667</c:v>
                </c:pt>
              </c:numCache>
            </c:numRef>
          </c:val>
          <c:extLst>
            <c:ext xmlns:c16="http://schemas.microsoft.com/office/drawing/2014/chart" uri="{C3380CC4-5D6E-409C-BE32-E72D297353CC}">
              <c16:uniqueId val="{00000003-2E56-46E1-B8FC-2201F83ACA59}"/>
            </c:ext>
          </c:extLst>
        </c:ser>
        <c:ser>
          <c:idx val="4"/>
          <c:order val="4"/>
          <c:tx>
            <c:strRef>
              <c:f>'Emissions Reduction'!$AD$65:$AD$66</c:f>
              <c:strCache>
                <c:ptCount val="2"/>
                <c:pt idx="0">
                  <c:v>No Build</c:v>
                </c:pt>
                <c:pt idx="1">
                  <c:v>Annual Hrs Below Free Flow</c:v>
                </c:pt>
              </c:strCache>
            </c:strRef>
          </c:tx>
          <c:spPr>
            <a:solidFill>
              <a:schemeClr val="accent5"/>
            </a:solidFill>
            <a:ln>
              <a:noFill/>
            </a:ln>
            <a:effectLst/>
          </c:spPr>
          <c:invertIfNegative val="0"/>
          <c:val>
            <c:numRef>
              <c:f>'Emissions Reduction'!$AD$67:$AD$94</c:f>
              <c:numCache>
                <c:formatCode>General</c:formatCode>
                <c:ptCount val="28"/>
                <c:pt idx="5" formatCode="_(* #,##0_);_(* \(#,##0\);_(* &quot;-&quot;??_);_(@_)">
                  <c:v>80982.427568227038</c:v>
                </c:pt>
                <c:pt idx="6" formatCode="_(* #,##0_);_(* \(#,##0\);_(* &quot;-&quot;??_);_(@_)">
                  <c:v>84589.673980608335</c:v>
                </c:pt>
                <c:pt idx="7" formatCode="_(* #,##0_);_(* \(#,##0\);_(* &quot;-&quot;??_);_(@_)">
                  <c:v>88357.600025230524</c:v>
                </c:pt>
                <c:pt idx="8" formatCode="_(* #,##0_);_(* \(#,##0\);_(* &quot;-&quot;??_);_(@_)">
                  <c:v>92293.362946502646</c:v>
                </c:pt>
                <c:pt idx="9" formatCode="_(* #,##0_);_(* \(#,##0\);_(* &quot;-&quot;??_);_(@_)">
                  <c:v>96404.43879804945</c:v>
                </c:pt>
                <c:pt idx="10" formatCode="_(* #,##0_);_(* \(#,##0\);_(* &quot;-&quot;??_);_(@_)">
                  <c:v>100698.63664361187</c:v>
                </c:pt>
                <c:pt idx="11" formatCode="_(* #,##0_);_(* \(#,##0\);_(* &quot;-&quot;??_);_(@_)">
                  <c:v>105184.11339050643</c:v>
                </c:pt>
                <c:pt idx="12" formatCode="_(* #,##0_);_(* \(#,##0\);_(* &quot;-&quot;??_);_(@_)">
                  <c:v>109869.38928381982</c:v>
                </c:pt>
                <c:pt idx="13" formatCode="_(* #,##0_);_(* \(#,##0\);_(* &quot;-&quot;??_);_(@_)">
                  <c:v>114763.36409077015</c:v>
                </c:pt>
                <c:pt idx="14" formatCode="_(* #,##0_);_(* \(#,##0\);_(* &quot;-&quot;??_);_(@_)">
                  <c:v>119875.33400597754</c:v>
                </c:pt>
                <c:pt idx="15" formatCode="_(* #,##0_);_(* \(#,##0\);_(* &quot;-&quot;??_);_(@_)">
                  <c:v>125215.00930975577</c:v>
                </c:pt>
                <c:pt idx="16" formatCode="_(* #,##0_);_(* \(#,##0\);_(* &quot;-&quot;??_);_(@_)">
                  <c:v>130792.53281296724</c:v>
                </c:pt>
                <c:pt idx="17" formatCode="_(* #,##0_);_(* \(#,##0\);_(* &quot;-&quot;??_);_(@_)">
                  <c:v>136618.49912347764</c:v>
                </c:pt>
                <c:pt idx="18" formatCode="_(* #,##0_);_(* \(#,##0\);_(* &quot;-&quot;??_);_(@_)">
                  <c:v>142703.97477080725</c:v>
                </c:pt>
                <c:pt idx="19" formatCode="_(* #,##0_);_(* \(#,##0\);_(* &quot;-&quot;??_);_(@_)">
                  <c:v>149060.51922720621</c:v>
                </c:pt>
                <c:pt idx="20" formatCode="_(* #,##0_);_(* \(#,##0\);_(* &quot;-&quot;??_);_(@_)">
                  <c:v>155700.20686508328</c:v>
                </c:pt>
                <c:pt idx="21" formatCode="_(* #,##0_);_(* \(#,##0\);_(* &quot;-&quot;??_);_(@_)">
                  <c:v>162635.64989249699</c:v>
                </c:pt>
                <c:pt idx="22" formatCode="_(* #,##0_);_(* \(#,##0\);_(* &quot;-&quot;??_);_(@_)">
                  <c:v>169880.0223102755</c:v>
                </c:pt>
                <c:pt idx="23" formatCode="_(* #,##0_);_(* \(#,##0\);_(* &quot;-&quot;??_);_(@_)">
                  <c:v>177447.08493627195</c:v>
                </c:pt>
                <c:pt idx="24" formatCode="_(* #,##0_);_(* \(#,##0\);_(* &quot;-&quot;??_);_(@_)">
                  <c:v>185351.2115442896</c:v>
                </c:pt>
                <c:pt idx="25" formatCode="_(* #,##0_);_(* \(#,##0\);_(* &quot;-&quot;??_);_(@_)">
                  <c:v>193607.41616732796</c:v>
                </c:pt>
                <c:pt idx="26" formatCode="_(* #,##0_);_(* \(#,##0\);_(* &quot;-&quot;??_);_(@_)">
                  <c:v>202231.38161701293</c:v>
                </c:pt>
                <c:pt idx="27" formatCode="_(* #,##0_);_(* \(#,##0\);_(* &quot;-&quot;??_);_(@_)">
                  <c:v>211239.48927338424</c:v>
                </c:pt>
              </c:numCache>
            </c:numRef>
          </c:val>
          <c:extLst>
            <c:ext xmlns:c16="http://schemas.microsoft.com/office/drawing/2014/chart" uri="{C3380CC4-5D6E-409C-BE32-E72D297353CC}">
              <c16:uniqueId val="{00000004-2E56-46E1-B8FC-2201F83ACA59}"/>
            </c:ext>
          </c:extLst>
        </c:ser>
        <c:ser>
          <c:idx val="5"/>
          <c:order val="5"/>
          <c:tx>
            <c:strRef>
              <c:f>'Emissions Reduction'!$AE$65:$AE$66</c:f>
              <c:strCache>
                <c:ptCount val="2"/>
                <c:pt idx="0">
                  <c:v>Project Build</c:v>
                </c:pt>
                <c:pt idx="1">
                  <c:v>Daily Minutes Below Free Flow</c:v>
                </c:pt>
              </c:strCache>
            </c:strRef>
          </c:tx>
          <c:spPr>
            <a:solidFill>
              <a:schemeClr val="accent6"/>
            </a:solidFill>
            <a:ln>
              <a:noFill/>
            </a:ln>
            <a:effectLst/>
          </c:spPr>
          <c:invertIfNegative val="0"/>
          <c:val>
            <c:numRef>
              <c:f>'Emissions Reduction'!$AE$67:$AE$94</c:f>
              <c:numCache>
                <c:formatCode>General</c:formatCode>
                <c:ptCount val="28"/>
                <c:pt idx="5" formatCode="_(* #,##0_);_(* \(#,##0\);_(* &quot;-&quot;??_);_(@_)">
                  <c:v>77367.459546641214</c:v>
                </c:pt>
                <c:pt idx="6" formatCode="_(* #,##0_);_(* \(#,##0\);_(* &quot;-&quot;??_);_(@_)">
                  <c:v>80813.682378743295</c:v>
                </c:pt>
                <c:pt idx="7" formatCode="_(* #,##0_);_(* \(#,##0\);_(* &quot;-&quot;??_);_(@_)">
                  <c:v>84413.412278003772</c:v>
                </c:pt>
                <c:pt idx="8" formatCode="_(* #,##0_);_(* \(#,##0\);_(* &quot;-&quot;??_);_(@_)">
                  <c:v>88173.486997178537</c:v>
                </c:pt>
                <c:pt idx="9" formatCode="_(* #,##0_);_(* \(#,##0\);_(* &quot;-&quot;??_);_(@_)">
                  <c:v>92101.0488669404</c:v>
                </c:pt>
                <c:pt idx="10" formatCode="_(* #,##0_);_(* \(#,##0\);_(* &quot;-&quot;??_);_(@_)">
                  <c:v>96203.558362866825</c:v>
                </c:pt>
                <c:pt idx="11" formatCode="_(* #,##0_);_(* \(#,##0\);_(* &quot;-&quot;??_);_(@_)">
                  <c:v>100488.80827674962</c:v>
                </c:pt>
                <c:pt idx="12" formatCode="_(* #,##0_);_(* \(#,##0\);_(* &quot;-&quot;??_);_(@_)">
                  <c:v>104964.93851914552</c:v>
                </c:pt>
                <c:pt idx="13" formatCode="_(* #,##0_);_(* \(#,##0\);_(* &quot;-&quot;??_);_(@_)">
                  <c:v>109640.45158128501</c:v>
                </c:pt>
                <c:pt idx="14" formatCode="_(* #,##0_);_(* \(#,##0\);_(* &quot;-&quot;??_);_(@_)">
                  <c:v>114524.22868570991</c:v>
                </c:pt>
                <c:pt idx="15" formatCode="_(* #,##0_);_(* \(#,##0\);_(* &quot;-&quot;??_);_(@_)">
                  <c:v>119625.54665631797</c:v>
                </c:pt>
                <c:pt idx="16" formatCode="_(* #,##0_);_(* \(#,##0\);_(* &quot;-&quot;??_);_(@_)">
                  <c:v>124954.09553985942</c:v>
                </c:pt>
                <c:pt idx="17" formatCode="_(* #,##0_);_(* \(#,##0\);_(* &quot;-&quot;??_);_(@_)">
                  <c:v>130519.99701235804</c:v>
                </c:pt>
                <c:pt idx="18" formatCode="_(* #,##0_);_(* \(#,##0\);_(* &quot;-&quot;??_);_(@_)">
                  <c:v>136333.82360541969</c:v>
                </c:pt>
                <c:pt idx="19" formatCode="_(* #,##0_);_(* \(#,##0\);_(* &quot;-&quot;??_);_(@_)">
                  <c:v>142406.61878894939</c:v>
                </c:pt>
                <c:pt idx="20" formatCode="_(* #,##0_);_(* \(#,##0\);_(* &quot;-&quot;??_);_(@_)">
                  <c:v>148749.91794842447</c:v>
                </c:pt>
                <c:pt idx="21" formatCode="_(* #,##0_);_(* \(#,##0\);_(* &quot;-&quot;??_);_(@_)">
                  <c:v>155375.77029657006</c:v>
                </c:pt>
                <c:pt idx="22" formatCode="_(* #,##0_);_(* \(#,##0\);_(* &quot;-&quot;??_);_(@_)">
                  <c:v>162296.76176105885</c:v>
                </c:pt>
                <c:pt idx="23" formatCode="_(* #,##0_);_(* \(#,##0\);_(* &quot;-&quot;??_);_(@_)">
                  <c:v>169526.03889171104</c:v>
                </c:pt>
                <c:pt idx="24" formatCode="_(* #,##0_);_(* \(#,##0\);_(* &quot;-&quot;??_);_(@_)">
                  <c:v>177077.33383260586</c:v>
                </c:pt>
                <c:pt idx="25" formatCode="_(* #,##0_);_(* \(#,##0\);_(* &quot;-&quot;??_);_(@_)">
                  <c:v>184964.99040654051</c:v>
                </c:pt>
                <c:pt idx="26" formatCode="_(* #,##0_);_(* \(#,##0\);_(* &quot;-&quot;??_);_(@_)">
                  <c:v>193203.99136138361</c:v>
                </c:pt>
                <c:pt idx="27" formatCode="_(* #,##0_);_(* \(#,##0\);_(* &quot;-&quot;??_);_(@_)">
                  <c:v>201809.98683007879</c:v>
                </c:pt>
              </c:numCache>
            </c:numRef>
          </c:val>
          <c:extLst>
            <c:ext xmlns:c16="http://schemas.microsoft.com/office/drawing/2014/chart" uri="{C3380CC4-5D6E-409C-BE32-E72D297353CC}">
              <c16:uniqueId val="{00000005-2E56-46E1-B8FC-2201F83ACA59}"/>
            </c:ext>
          </c:extLst>
        </c:ser>
        <c:ser>
          <c:idx val="6"/>
          <c:order val="6"/>
          <c:tx>
            <c:strRef>
              <c:f>'Emissions Reduction'!$AF$65:$AF$66</c:f>
              <c:strCache>
                <c:ptCount val="2"/>
                <c:pt idx="0">
                  <c:v>Project Build</c:v>
                </c:pt>
                <c:pt idx="1">
                  <c:v>Build v. No Build Delay Reduction (Annual Hrs)</c:v>
                </c:pt>
              </c:strCache>
            </c:strRef>
          </c:tx>
          <c:spPr>
            <a:solidFill>
              <a:schemeClr val="accent1">
                <a:lumMod val="60000"/>
              </a:schemeClr>
            </a:solidFill>
            <a:ln>
              <a:noFill/>
            </a:ln>
            <a:effectLst/>
          </c:spPr>
          <c:invertIfNegative val="0"/>
          <c:val>
            <c:numRef>
              <c:f>'Emissions Reduction'!$AF$67:$AF$94</c:f>
              <c:numCache>
                <c:formatCode>General</c:formatCode>
                <c:ptCount val="28"/>
                <c:pt idx="5" formatCode="_(* #,##0_);_(* \(#,##0\);_(* &quot;-&quot;??_);_(@_)">
                  <c:v>3614.9680215858243</c:v>
                </c:pt>
                <c:pt idx="6" formatCode="_(* #,##0_);_(* \(#,##0\);_(* &quot;-&quot;??_);_(@_)">
                  <c:v>3775.9916018650401</c:v>
                </c:pt>
                <c:pt idx="7" formatCode="_(* #,##0_);_(* \(#,##0\);_(* &quot;-&quot;??_);_(@_)">
                  <c:v>3944.1877472267515</c:v>
                </c:pt>
                <c:pt idx="8" formatCode="_(* #,##0_);_(* \(#,##0\);_(* &quot;-&quot;??_);_(@_)">
                  <c:v>4119.8759493241087</c:v>
                </c:pt>
                <c:pt idx="9" formatCode="_(* #,##0_);_(* \(#,##0\);_(* &quot;-&quot;??_);_(@_)">
                  <c:v>4303.3899311090499</c:v>
                </c:pt>
                <c:pt idx="10" formatCode="_(* #,##0_);_(* \(#,##0\);_(* &quot;-&quot;??_);_(@_)">
                  <c:v>4495.078280745045</c:v>
                </c:pt>
                <c:pt idx="11" formatCode="_(* #,##0_);_(* \(#,##0\);_(* &quot;-&quot;??_);_(@_)">
                  <c:v>4695.3051137568109</c:v>
                </c:pt>
                <c:pt idx="12" formatCode="_(* #,##0_);_(* \(#,##0\);_(* &quot;-&quot;??_);_(@_)">
                  <c:v>4904.4507646743004</c:v>
                </c:pt>
                <c:pt idx="13" formatCode="_(* #,##0_);_(* \(#,##0\);_(* &quot;-&quot;??_);_(@_)">
                  <c:v>5122.9125094851333</c:v>
                </c:pt>
                <c:pt idx="14" formatCode="_(* #,##0_);_(* \(#,##0\);_(* &quot;-&quot;??_);_(@_)">
                  <c:v>5351.1053202676267</c:v>
                </c:pt>
                <c:pt idx="15" formatCode="_(* #,##0_);_(* \(#,##0\);_(* &quot;-&quot;??_);_(@_)">
                  <c:v>5589.462653437804</c:v>
                </c:pt>
                <c:pt idx="16" formatCode="_(* #,##0_);_(* \(#,##0\);_(* &quot;-&quot;??_);_(@_)">
                  <c:v>5838.4372731078183</c:v>
                </c:pt>
                <c:pt idx="17" formatCode="_(* #,##0_);_(* \(#,##0\);_(* &quot;-&quot;??_);_(@_)">
                  <c:v>6098.5021111195965</c:v>
                </c:pt>
                <c:pt idx="18" formatCode="_(* #,##0_);_(* \(#,##0\);_(* &quot;-&quot;??_);_(@_)">
                  <c:v>6370.1511653875641</c:v>
                </c:pt>
                <c:pt idx="19" formatCode="_(* #,##0_);_(* \(#,##0\);_(* &quot;-&quot;??_);_(@_)">
                  <c:v>6653.9004382568237</c:v>
                </c:pt>
                <c:pt idx="20" formatCode="_(* #,##0_);_(* \(#,##0\);_(* &quot;-&quot;??_);_(@_)">
                  <c:v>6950.2889166588138</c:v>
                </c:pt>
                <c:pt idx="21" formatCode="_(* #,##0_);_(* \(#,##0\);_(* &quot;-&quot;??_);_(@_)">
                  <c:v>7259.8795959269337</c:v>
                </c:pt>
                <c:pt idx="22" formatCode="_(* #,##0_);_(* \(#,##0\);_(* &quot;-&quot;??_);_(@_)">
                  <c:v>7583.2605492166476</c:v>
                </c:pt>
                <c:pt idx="23" formatCode="_(* #,##0_);_(* \(#,##0\);_(* &quot;-&quot;??_);_(@_)">
                  <c:v>7921.046044560906</c:v>
                </c:pt>
                <c:pt idx="24" formatCode="_(* #,##0_);_(* \(#,##0\);_(* &quot;-&quot;??_);_(@_)">
                  <c:v>8273.8777116837446</c:v>
                </c:pt>
                <c:pt idx="25" formatCode="_(* #,##0_);_(* \(#,##0\);_(* &quot;-&quot;??_);_(@_)">
                  <c:v>8642.4257607874461</c:v>
                </c:pt>
                <c:pt idx="26" formatCode="_(* #,##0_);_(* \(#,##0\);_(* &quot;-&quot;??_);_(@_)">
                  <c:v>9027.3902556293178</c:v>
                </c:pt>
                <c:pt idx="27" formatCode="_(* #,##0_);_(* \(#,##0\);_(* &quot;-&quot;??_);_(@_)">
                  <c:v>9429.5024433054496</c:v>
                </c:pt>
              </c:numCache>
            </c:numRef>
          </c:val>
          <c:extLst>
            <c:ext xmlns:c16="http://schemas.microsoft.com/office/drawing/2014/chart" uri="{C3380CC4-5D6E-409C-BE32-E72D297353CC}">
              <c16:uniqueId val="{00000006-2E56-46E1-B8FC-2201F83ACA59}"/>
            </c:ext>
          </c:extLst>
        </c:ser>
        <c:ser>
          <c:idx val="7"/>
          <c:order val="7"/>
          <c:tx>
            <c:strRef>
              <c:f>'Emissions Reduction'!$AG$65:$AG$66</c:f>
              <c:strCache>
                <c:ptCount val="2"/>
                <c:pt idx="0">
                  <c:v>Project Build</c:v>
                </c:pt>
                <c:pt idx="1">
                  <c:v>Proportion EV (Light Duty)</c:v>
                </c:pt>
              </c:strCache>
            </c:strRef>
          </c:tx>
          <c:spPr>
            <a:solidFill>
              <a:schemeClr val="accent2">
                <a:lumMod val="60000"/>
              </a:schemeClr>
            </a:solidFill>
            <a:ln>
              <a:noFill/>
            </a:ln>
            <a:effectLst/>
          </c:spPr>
          <c:invertIfNegative val="0"/>
          <c:val>
            <c:numRef>
              <c:f>'Emissions Reduction'!$AG$67:$AG$94</c:f>
              <c:numCache>
                <c:formatCode>General</c:formatCode>
                <c:ptCount val="28"/>
                <c:pt idx="5" formatCode="0.00">
                  <c:v>0.02</c:v>
                </c:pt>
                <c:pt idx="6" formatCode="0.00">
                  <c:v>0.03</c:v>
                </c:pt>
                <c:pt idx="7" formatCode="0.00">
                  <c:v>0.04</c:v>
                </c:pt>
                <c:pt idx="8" formatCode="0.00">
                  <c:v>0.05</c:v>
                </c:pt>
                <c:pt idx="9" formatCode="0.00">
                  <c:v>0.06</c:v>
                </c:pt>
                <c:pt idx="10" formatCode="0.00">
                  <c:v>7.0000000000000007E-2</c:v>
                </c:pt>
                <c:pt idx="11" formatCode="0.00">
                  <c:v>0.08</c:v>
                </c:pt>
                <c:pt idx="12" formatCode="0.00">
                  <c:v>0.09</c:v>
                </c:pt>
                <c:pt idx="13" formatCode="0.00">
                  <c:v>0.1</c:v>
                </c:pt>
                <c:pt idx="14" formatCode="0.00">
                  <c:v>0.11</c:v>
                </c:pt>
                <c:pt idx="15" formatCode="0.00">
                  <c:v>0.12</c:v>
                </c:pt>
                <c:pt idx="16" formatCode="0.00">
                  <c:v>0.13</c:v>
                </c:pt>
                <c:pt idx="17" formatCode="0.00">
                  <c:v>0.14000000000000001</c:v>
                </c:pt>
                <c:pt idx="18" formatCode="0.00">
                  <c:v>0.15</c:v>
                </c:pt>
                <c:pt idx="19" formatCode="0.00">
                  <c:v>0.16</c:v>
                </c:pt>
                <c:pt idx="20" formatCode="0.00">
                  <c:v>0.17</c:v>
                </c:pt>
                <c:pt idx="21" formatCode="0.00">
                  <c:v>0.18</c:v>
                </c:pt>
                <c:pt idx="22" formatCode="0.00">
                  <c:v>0.19</c:v>
                </c:pt>
                <c:pt idx="23" formatCode="0.00">
                  <c:v>0.2</c:v>
                </c:pt>
                <c:pt idx="24" formatCode="0.00">
                  <c:v>0.2</c:v>
                </c:pt>
                <c:pt idx="25" formatCode="0.00">
                  <c:v>0.2</c:v>
                </c:pt>
                <c:pt idx="26" formatCode="0.00">
                  <c:v>0.2</c:v>
                </c:pt>
                <c:pt idx="27" formatCode="0.00">
                  <c:v>0.2</c:v>
                </c:pt>
              </c:numCache>
            </c:numRef>
          </c:val>
          <c:extLst>
            <c:ext xmlns:c16="http://schemas.microsoft.com/office/drawing/2014/chart" uri="{C3380CC4-5D6E-409C-BE32-E72D297353CC}">
              <c16:uniqueId val="{00000007-2E56-46E1-B8FC-2201F83ACA59}"/>
            </c:ext>
          </c:extLst>
        </c:ser>
        <c:dLbls>
          <c:showLegendKey val="0"/>
          <c:showVal val="0"/>
          <c:showCatName val="0"/>
          <c:showSerName val="0"/>
          <c:showPercent val="0"/>
          <c:showBubbleSize val="0"/>
        </c:dLbls>
        <c:gapWidth val="219"/>
        <c:overlap val="-27"/>
        <c:axId val="389252751"/>
        <c:axId val="389250831"/>
      </c:barChart>
      <c:catAx>
        <c:axId val="38925275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9250831"/>
        <c:crosses val="autoZero"/>
        <c:auto val="1"/>
        <c:lblAlgn val="ctr"/>
        <c:lblOffset val="100"/>
        <c:noMultiLvlLbl val="0"/>
      </c:catAx>
      <c:valAx>
        <c:axId val="3892508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9252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875A73F-695D-45B9-8E14-C89C1658E625}">
  <sheetPr>
    <tabColor theme="9" tint="0.39997558519241921"/>
  </sheetPr>
  <sheetViews>
    <sheetView zoomScale="114"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64408" cy="6291513"/>
    <xdr:graphicFrame macro="">
      <xdr:nvGraphicFramePr>
        <xdr:cNvPr id="2" name="Chart 1">
          <a:extLst>
            <a:ext uri="{FF2B5EF4-FFF2-40B4-BE49-F238E27FC236}">
              <a16:creationId xmlns:a16="http://schemas.microsoft.com/office/drawing/2014/main" id="{63156878-D7B4-5D5D-98D7-355E8237038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nergy.gov/eere/vehicles/fact-861-february-23-2015-idle-fuel-consumption-selected-gasoline-and-diesel-vehicle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transportation.gov/mission/office-secretary/office-policy/transportation-policy/benefit-cost-analysis-guidanc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7D2A8-0D1D-45CA-80EB-C8363DA63B93}">
  <sheetPr>
    <tabColor theme="0" tint="-0.249977111117893"/>
  </sheetPr>
  <dimension ref="A1:B23"/>
  <sheetViews>
    <sheetView zoomScale="130" zoomScaleNormal="130" workbookViewId="0"/>
  </sheetViews>
  <sheetFormatPr defaultColWidth="9.140625" defaultRowHeight="15" x14ac:dyDescent="0.25"/>
  <cols>
    <col min="1" max="1" width="72.85546875" style="5" customWidth="1"/>
    <col min="2" max="2" width="11.28515625" style="5" bestFit="1" customWidth="1"/>
    <col min="3" max="16384" width="9.140625" style="5"/>
  </cols>
  <sheetData>
    <row r="1" spans="1:1" ht="20.25" thickBot="1" x14ac:dyDescent="0.35">
      <c r="A1" s="45" t="s">
        <v>319</v>
      </c>
    </row>
    <row r="2" spans="1:1" ht="15.75" thickTop="1" x14ac:dyDescent="0.25">
      <c r="A2" s="46" t="s">
        <v>200</v>
      </c>
    </row>
    <row r="3" spans="1:1" ht="18" thickBot="1" x14ac:dyDescent="0.35">
      <c r="A3" s="48" t="s">
        <v>320</v>
      </c>
    </row>
    <row r="4" spans="1:1" ht="75.95" customHeight="1" thickTop="1" x14ac:dyDescent="0.25">
      <c r="A4" s="50" t="s">
        <v>321</v>
      </c>
    </row>
    <row r="5" spans="1:1" x14ac:dyDescent="0.25">
      <c r="A5" s="46" t="s">
        <v>201</v>
      </c>
    </row>
    <row r="6" spans="1:1" ht="18" thickBot="1" x14ac:dyDescent="0.35">
      <c r="A6" s="47" t="s">
        <v>202</v>
      </c>
    </row>
    <row r="7" spans="1:1" ht="15.75" thickTop="1" x14ac:dyDescent="0.25">
      <c r="A7" s="52" t="s">
        <v>322</v>
      </c>
    </row>
    <row r="8" spans="1:1" x14ac:dyDescent="0.25">
      <c r="A8" s="52" t="s">
        <v>323</v>
      </c>
    </row>
    <row r="9" spans="1:1" ht="30" x14ac:dyDescent="0.25">
      <c r="A9" s="51" t="s">
        <v>324</v>
      </c>
    </row>
    <row r="10" spans="1:1" x14ac:dyDescent="0.25">
      <c r="A10" s="53" t="str">
        <f>HYPERLINK("https://www.transportation.gov/mission/office-secretary/office-policy/transportation-policy/benefit-cost-analysis-guidance", "See USDOT BCA Guidance for full details.")</f>
        <v>See USDOT BCA Guidance for full details.</v>
      </c>
    </row>
    <row r="11" spans="1:1" x14ac:dyDescent="0.25">
      <c r="A11" s="46" t="s">
        <v>200</v>
      </c>
    </row>
    <row r="12" spans="1:1" ht="18" thickBot="1" x14ac:dyDescent="0.35">
      <c r="A12" s="47" t="s">
        <v>203</v>
      </c>
    </row>
    <row r="13" spans="1:1" ht="15.75" thickTop="1" x14ac:dyDescent="0.25">
      <c r="A13" s="54" t="s">
        <v>302</v>
      </c>
    </row>
    <row r="14" spans="1:1" ht="30" x14ac:dyDescent="0.25">
      <c r="A14" s="166" t="s">
        <v>325</v>
      </c>
    </row>
    <row r="15" spans="1:1" ht="30" x14ac:dyDescent="0.25">
      <c r="A15" s="167" t="s">
        <v>326</v>
      </c>
    </row>
    <row r="16" spans="1:1" ht="30" x14ac:dyDescent="0.25">
      <c r="A16" s="169" t="s">
        <v>327</v>
      </c>
    </row>
    <row r="17" spans="1:2" ht="45" x14ac:dyDescent="0.25">
      <c r="A17" s="49" t="s">
        <v>264</v>
      </c>
    </row>
    <row r="18" spans="1:2" x14ac:dyDescent="0.25">
      <c r="A18" s="49" t="s">
        <v>257</v>
      </c>
    </row>
    <row r="19" spans="1:2" ht="45" x14ac:dyDescent="0.25">
      <c r="A19" s="55" t="s">
        <v>303</v>
      </c>
    </row>
    <row r="22" spans="1:2" x14ac:dyDescent="0.25">
      <c r="A22" s="6" t="s">
        <v>160</v>
      </c>
      <c r="B22" s="174">
        <v>2023</v>
      </c>
    </row>
    <row r="23" spans="1:2" x14ac:dyDescent="0.25">
      <c r="A23" s="2" t="s">
        <v>328</v>
      </c>
      <c r="B23" s="175">
        <v>45614</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95586-785A-4FD2-A789-DCFA60DB471C}">
  <sheetPr>
    <tabColor theme="9" tint="0.39997558519241921"/>
  </sheetPr>
  <dimension ref="A1:BV112"/>
  <sheetViews>
    <sheetView topLeftCell="O47" workbookViewId="0">
      <selection activeCell="AH72" sqref="AH72"/>
    </sheetView>
  </sheetViews>
  <sheetFormatPr defaultColWidth="9.140625" defaultRowHeight="15" x14ac:dyDescent="0.25"/>
  <cols>
    <col min="1" max="1" width="39" style="5" customWidth="1"/>
    <col min="2" max="2" width="35.42578125" style="5" customWidth="1"/>
    <col min="3" max="3" width="35.5703125" style="5" customWidth="1"/>
    <col min="4" max="4" width="30.140625" style="5" customWidth="1"/>
    <col min="5" max="5" width="26.85546875" style="5" customWidth="1"/>
    <col min="6" max="6" width="7.42578125" style="5" customWidth="1"/>
    <col min="7" max="14" width="20.5703125" style="5" customWidth="1"/>
    <col min="15" max="18" width="15.7109375" style="5" customWidth="1"/>
    <col min="19" max="19" width="28.5703125" style="5" customWidth="1"/>
    <col min="20" max="20" width="24.85546875" style="5" customWidth="1"/>
    <col min="21" max="26" width="9.140625" style="5"/>
    <col min="27" max="27" width="9.140625" style="5" customWidth="1"/>
    <col min="28" max="16384" width="9.140625" style="5"/>
  </cols>
  <sheetData>
    <row r="1" spans="1:12" ht="20.25" thickBot="1" x14ac:dyDescent="0.35">
      <c r="A1" s="96" t="s">
        <v>224</v>
      </c>
      <c r="B1" s="134"/>
      <c r="C1" s="134"/>
      <c r="D1" s="134"/>
      <c r="E1" s="134"/>
      <c r="F1" s="134"/>
    </row>
    <row r="2" spans="1:12" ht="15.75" thickTop="1" x14ac:dyDescent="0.25">
      <c r="A2" s="154" t="s">
        <v>356</v>
      </c>
      <c r="B2" s="155"/>
      <c r="C2" s="155"/>
      <c r="D2" s="155"/>
      <c r="E2" s="155"/>
      <c r="F2" s="155"/>
      <c r="G2" s="155"/>
      <c r="H2" s="155"/>
      <c r="I2" s="155"/>
    </row>
    <row r="3" spans="1:12" x14ac:dyDescent="0.25">
      <c r="A3" s="154" t="s">
        <v>317</v>
      </c>
      <c r="B3" s="155"/>
      <c r="C3" s="155"/>
      <c r="D3" s="155"/>
    </row>
    <row r="4" spans="1:12" x14ac:dyDescent="0.25">
      <c r="A4" s="154" t="s">
        <v>318</v>
      </c>
      <c r="B4" s="155"/>
      <c r="C4" s="155"/>
    </row>
    <row r="5" spans="1:12" x14ac:dyDescent="0.25">
      <c r="A5" s="154" t="s">
        <v>308</v>
      </c>
      <c r="B5" s="155"/>
      <c r="C5" s="155"/>
      <c r="D5" s="155"/>
      <c r="E5" s="155"/>
    </row>
    <row r="6" spans="1:12" x14ac:dyDescent="0.25">
      <c r="A6" s="5" t="s">
        <v>205</v>
      </c>
    </row>
    <row r="7" spans="1:12" x14ac:dyDescent="0.25">
      <c r="A7" s="97" t="s">
        <v>384</v>
      </c>
    </row>
    <row r="8" spans="1:12" ht="30" customHeight="1" x14ac:dyDescent="0.25">
      <c r="A8" s="116" t="s">
        <v>385</v>
      </c>
      <c r="B8" s="116"/>
      <c r="D8" s="326" t="s">
        <v>386</v>
      </c>
      <c r="E8" s="327"/>
      <c r="F8" s="327"/>
      <c r="G8" s="327"/>
      <c r="H8" s="328"/>
      <c r="J8" s="185" t="s">
        <v>387</v>
      </c>
      <c r="K8" s="186" t="s">
        <v>359</v>
      </c>
      <c r="L8" s="187" t="s">
        <v>382</v>
      </c>
    </row>
    <row r="9" spans="1:12" x14ac:dyDescent="0.25">
      <c r="A9" s="140" t="s">
        <v>388</v>
      </c>
      <c r="B9" s="132"/>
      <c r="D9" s="140" t="s">
        <v>389</v>
      </c>
      <c r="E9" s="188" t="s">
        <v>390</v>
      </c>
      <c r="F9" s="140" t="s">
        <v>391</v>
      </c>
      <c r="G9" s="188"/>
      <c r="H9" s="140" t="s">
        <v>392</v>
      </c>
      <c r="J9" s="189" t="s">
        <v>393</v>
      </c>
      <c r="K9" s="190">
        <v>13578</v>
      </c>
      <c r="L9" s="190">
        <v>8060</v>
      </c>
    </row>
    <row r="10" spans="1:12" x14ac:dyDescent="0.25">
      <c r="A10" s="35" t="s">
        <v>394</v>
      </c>
      <c r="B10" s="191">
        <v>2.6829999999999998</v>
      </c>
      <c r="D10" s="92"/>
      <c r="E10" s="58"/>
      <c r="F10" s="58" t="s">
        <v>395</v>
      </c>
      <c r="G10" s="58" t="s">
        <v>396</v>
      </c>
      <c r="H10" s="59" t="s">
        <v>397</v>
      </c>
      <c r="J10" s="192" t="s">
        <v>398</v>
      </c>
      <c r="K10" s="193">
        <v>14202</v>
      </c>
      <c r="L10" s="193">
        <v>8430</v>
      </c>
    </row>
    <row r="11" spans="1:12" x14ac:dyDescent="0.25">
      <c r="A11" s="35" t="s">
        <v>399</v>
      </c>
      <c r="B11" s="191">
        <v>3.5150000000000001</v>
      </c>
      <c r="D11" s="62" t="s">
        <v>400</v>
      </c>
      <c r="E11" t="s">
        <v>401</v>
      </c>
      <c r="F11">
        <v>2</v>
      </c>
      <c r="G11" t="s">
        <v>205</v>
      </c>
      <c r="H11" s="60">
        <v>0.16</v>
      </c>
      <c r="J11" s="192" t="s">
        <v>402</v>
      </c>
      <c r="K11" s="193">
        <v>196</v>
      </c>
      <c r="L11" s="193">
        <v>139</v>
      </c>
    </row>
    <row r="12" spans="1:12" x14ac:dyDescent="0.25">
      <c r="A12" s="35" t="s">
        <v>403</v>
      </c>
      <c r="B12" s="194" t="s">
        <v>404</v>
      </c>
      <c r="D12" s="62" t="s">
        <v>405</v>
      </c>
      <c r="E12" t="s">
        <v>401</v>
      </c>
      <c r="F12">
        <v>4.5999999999999996</v>
      </c>
      <c r="G12" t="s">
        <v>205</v>
      </c>
      <c r="H12" s="60">
        <v>0.39</v>
      </c>
      <c r="J12" s="192" t="s">
        <v>406</v>
      </c>
      <c r="K12" s="193">
        <v>7914</v>
      </c>
      <c r="L12" s="193">
        <v>4171</v>
      </c>
    </row>
    <row r="13" spans="1:12" x14ac:dyDescent="0.25">
      <c r="A13" s="35" t="s">
        <v>407</v>
      </c>
      <c r="B13" s="195" t="s">
        <v>404</v>
      </c>
      <c r="D13" s="62" t="s">
        <v>400</v>
      </c>
      <c r="E13" t="s">
        <v>408</v>
      </c>
      <c r="F13">
        <v>2</v>
      </c>
      <c r="G13" t="s">
        <v>205</v>
      </c>
      <c r="H13" s="60">
        <v>0.17</v>
      </c>
      <c r="J13" s="192" t="s">
        <v>409</v>
      </c>
      <c r="K13" s="193">
        <v>3910</v>
      </c>
      <c r="L13" s="193">
        <v>2463</v>
      </c>
    </row>
    <row r="14" spans="1:12" x14ac:dyDescent="0.25">
      <c r="A14" s="140" t="s">
        <v>410</v>
      </c>
      <c r="B14" s="132"/>
      <c r="D14" s="62" t="s">
        <v>411</v>
      </c>
      <c r="E14" t="s">
        <v>401</v>
      </c>
      <c r="F14" t="s">
        <v>412</v>
      </c>
      <c r="G14" t="s">
        <v>413</v>
      </c>
      <c r="H14" s="60">
        <v>0.84</v>
      </c>
      <c r="J14" s="192" t="s">
        <v>85</v>
      </c>
      <c r="K14" s="193">
        <v>87</v>
      </c>
      <c r="L14" s="193">
        <v>90</v>
      </c>
    </row>
    <row r="15" spans="1:12" x14ac:dyDescent="0.25">
      <c r="A15" s="35" t="s">
        <v>394</v>
      </c>
      <c r="B15" s="196">
        <v>3.4550000000000001</v>
      </c>
      <c r="D15" s="62" t="s">
        <v>414</v>
      </c>
      <c r="E15" t="s">
        <v>408</v>
      </c>
      <c r="F15" t="s">
        <v>205</v>
      </c>
      <c r="G15" s="197">
        <v>19500</v>
      </c>
      <c r="H15" s="60">
        <v>0.84</v>
      </c>
      <c r="J15" s="192" t="s">
        <v>415</v>
      </c>
      <c r="K15" s="193">
        <v>650</v>
      </c>
      <c r="L15" s="193">
        <v>482</v>
      </c>
    </row>
    <row r="16" spans="1:12" x14ac:dyDescent="0.25">
      <c r="A16" s="35" t="s">
        <v>399</v>
      </c>
      <c r="B16" s="191">
        <v>33.762999999999998</v>
      </c>
      <c r="D16" s="62" t="s">
        <v>416</v>
      </c>
      <c r="E16" t="s">
        <v>408</v>
      </c>
      <c r="F16" t="s">
        <v>205</v>
      </c>
      <c r="G16" s="197">
        <v>26000</v>
      </c>
      <c r="H16" s="60">
        <v>0.59</v>
      </c>
      <c r="J16" s="192" t="s">
        <v>417</v>
      </c>
      <c r="K16" s="193">
        <v>821</v>
      </c>
      <c r="L16" s="193">
        <v>715</v>
      </c>
    </row>
    <row r="17" spans="1:74" x14ac:dyDescent="0.25">
      <c r="A17" s="35" t="s">
        <v>403</v>
      </c>
      <c r="B17" s="191">
        <v>1.1000000000000001</v>
      </c>
      <c r="D17" s="62" t="s">
        <v>411</v>
      </c>
      <c r="E17" t="s">
        <v>408</v>
      </c>
      <c r="F17" t="s">
        <v>418</v>
      </c>
      <c r="G17" t="s">
        <v>419</v>
      </c>
      <c r="H17" s="60">
        <v>0.44</v>
      </c>
      <c r="J17" s="192" t="s">
        <v>420</v>
      </c>
      <c r="K17" s="193">
        <v>4296</v>
      </c>
      <c r="L17" s="193">
        <v>2557</v>
      </c>
    </row>
    <row r="18" spans="1:74" x14ac:dyDescent="0.25">
      <c r="A18" s="35" t="s">
        <v>407</v>
      </c>
      <c r="B18" s="141" t="s">
        <v>404</v>
      </c>
      <c r="D18" s="62" t="s">
        <v>421</v>
      </c>
      <c r="E18" t="s">
        <v>408</v>
      </c>
      <c r="F18" t="s">
        <v>205</v>
      </c>
      <c r="G18" s="197">
        <v>30000</v>
      </c>
      <c r="H18" s="60">
        <v>0.97</v>
      </c>
      <c r="J18" t="s">
        <v>422</v>
      </c>
    </row>
    <row r="19" spans="1:74" x14ac:dyDescent="0.25">
      <c r="A19" s="116"/>
      <c r="B19" s="116"/>
      <c r="D19" s="62" t="s">
        <v>423</v>
      </c>
      <c r="E19" t="s">
        <v>408</v>
      </c>
      <c r="F19" t="s">
        <v>205</v>
      </c>
      <c r="G19" s="197">
        <v>32000</v>
      </c>
      <c r="H19" s="60">
        <v>0.49</v>
      </c>
    </row>
    <row r="20" spans="1:74" x14ac:dyDescent="0.25">
      <c r="A20" s="131" t="s">
        <v>424</v>
      </c>
      <c r="B20" s="132"/>
      <c r="D20" s="62" t="s">
        <v>425</v>
      </c>
      <c r="E20" t="s">
        <v>408</v>
      </c>
      <c r="F20" t="s">
        <v>205</v>
      </c>
      <c r="G20" s="197">
        <v>37000</v>
      </c>
      <c r="H20" s="60">
        <v>0.9</v>
      </c>
    </row>
    <row r="21" spans="1:74" x14ac:dyDescent="0.25">
      <c r="A21" s="35" t="s">
        <v>426</v>
      </c>
      <c r="B21" s="198">
        <v>907185</v>
      </c>
      <c r="D21" s="199" t="s">
        <v>427</v>
      </c>
      <c r="E21" s="200" t="s">
        <v>408</v>
      </c>
      <c r="F21" s="200" t="s">
        <v>205</v>
      </c>
      <c r="G21" s="201">
        <v>80000</v>
      </c>
      <c r="H21" s="202">
        <v>0.64</v>
      </c>
    </row>
    <row r="22" spans="1:74" x14ac:dyDescent="0.25">
      <c r="A22" s="35" t="s">
        <v>428</v>
      </c>
      <c r="B22" s="203">
        <v>1.1014999999999999</v>
      </c>
      <c r="D22" t="s">
        <v>429</v>
      </c>
      <c r="E22"/>
      <c r="F22"/>
      <c r="G22"/>
      <c r="H22"/>
    </row>
    <row r="23" spans="1:74" x14ac:dyDescent="0.25">
      <c r="A23" s="35" t="s">
        <v>430</v>
      </c>
      <c r="B23" s="198">
        <v>8887</v>
      </c>
      <c r="D23" t="s">
        <v>431</v>
      </c>
      <c r="E23"/>
      <c r="F23"/>
      <c r="G23"/>
      <c r="H23"/>
    </row>
    <row r="24" spans="1:74" x14ac:dyDescent="0.25">
      <c r="A24" s="35" t="s">
        <v>432</v>
      </c>
      <c r="B24" s="198">
        <v>10180</v>
      </c>
      <c r="D24" t="s">
        <v>433</v>
      </c>
      <c r="E24"/>
      <c r="F24"/>
      <c r="G24"/>
      <c r="H24"/>
    </row>
    <row r="30" spans="1:74" x14ac:dyDescent="0.25">
      <c r="A30" s="5" t="s">
        <v>205</v>
      </c>
    </row>
    <row r="31" spans="1:74" ht="15.75" thickBot="1" x14ac:dyDescent="0.3">
      <c r="A31" s="97" t="s">
        <v>295</v>
      </c>
      <c r="B31" s="135"/>
      <c r="C31" s="135"/>
      <c r="D31" s="135"/>
      <c r="E31" s="135"/>
      <c r="F31" s="135"/>
    </row>
    <row r="32" spans="1:74" ht="18" x14ac:dyDescent="0.35">
      <c r="A32" s="107" t="s">
        <v>4</v>
      </c>
      <c r="B32" s="110" t="s">
        <v>291</v>
      </c>
      <c r="C32" s="110" t="s">
        <v>292</v>
      </c>
      <c r="D32" s="110" t="s">
        <v>293</v>
      </c>
      <c r="E32" s="110" t="s">
        <v>294</v>
      </c>
      <c r="F32" s="110"/>
      <c r="G32" s="110" t="s">
        <v>225</v>
      </c>
      <c r="H32" s="108" t="s">
        <v>226</v>
      </c>
      <c r="I32" s="110" t="s">
        <v>227</v>
      </c>
      <c r="J32" s="108" t="s">
        <v>228</v>
      </c>
      <c r="K32" s="110" t="s">
        <v>229</v>
      </c>
      <c r="L32" s="108" t="s">
        <v>230</v>
      </c>
      <c r="M32" s="110" t="s">
        <v>231</v>
      </c>
      <c r="N32" s="108" t="s">
        <v>232</v>
      </c>
      <c r="O32" s="111" t="s">
        <v>233</v>
      </c>
      <c r="P32" s="112" t="s">
        <v>234</v>
      </c>
      <c r="Q32" s="112" t="s">
        <v>235</v>
      </c>
      <c r="R32" s="112" t="s">
        <v>236</v>
      </c>
      <c r="S32" s="113" t="s">
        <v>237</v>
      </c>
      <c r="T32" s="108" t="s">
        <v>238</v>
      </c>
      <c r="W32" s="10" t="s">
        <v>161</v>
      </c>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2"/>
    </row>
    <row r="33" spans="1:74" x14ac:dyDescent="0.25">
      <c r="A33" s="6">
        <f>'Project Information'!$B$9</f>
        <v>2029</v>
      </c>
      <c r="B33" s="136">
        <v>0</v>
      </c>
      <c r="C33" s="136">
        <v>0</v>
      </c>
      <c r="D33" s="136">
        <v>0</v>
      </c>
      <c r="E33" s="137">
        <v>0</v>
      </c>
      <c r="F33" s="6"/>
      <c r="G33" s="204">
        <f>((AD40*$X$44*(1-AG40)*$B$11)/$B$21) + ((AD40*$X$42*$B$16)/$B$21) + ((AD40*$X$43*$B$16)/$B$21) + ((AD72*$X$76*(1-AG72)*$B$11)/$B$21) + ((AD72*$X$74*$B$16)/$B$21) + ((AD72*$X$75*$B$16)/$B$21)</f>
        <v>2.0966944857216214</v>
      </c>
      <c r="H33" s="204">
        <f>((AE40*$X$44*(1-AG40)*$B$11)/$B$21) + ((AE40*$X$42*$B$16)/$B$21) + ((AE40*$X$43*$B$16)/$B$21) + ((AE72*$X$76*(1-AG72)*$B$11)/$B$21) + ((AE72*$X$74*$B$16)/$B$21) + ((AE72*$X$75*$B$16)/$B$21)</f>
        <v>2.0042553291774055</v>
      </c>
      <c r="I33" s="27">
        <v>0</v>
      </c>
      <c r="J33" s="27">
        <v>0</v>
      </c>
      <c r="K33" s="205">
        <f>((AD40*$X$42*(1-AG40)*$B$17)/$B$21) + ((AD40*$X$43*$B$17)/$B$21) + ((AD72*$X$74*(1-AG72)*$B$17)/$B$21) + ((AD72*$X$75*$B$17)/$B$21)</f>
        <v>3.993099120875148E-2</v>
      </c>
      <c r="L33" s="205">
        <f>((AE40*$X$42*(1-AG40)*$B$17)/$B$21) + ((AE40*$X$43*$B$17)/$B$21) + ((AE72*$X$74*(1-AG72)*$B$17)/$B$21) + ((AE72*$X$75*$B$17)/$B$21)</f>
        <v>3.8169323159657334E-2</v>
      </c>
      <c r="M33" s="27">
        <f>(((AD40*(($K$12/$K$9)*(1-AG40))*(($H$11+$H$12)/2))*$B$23) + ((AD40*($K$13/$K$9)*$H$14)*$B$23) + ((AD40*($K$14/$K$9)*$H$18)*$B$24) + ((AD40*($K$15/$K$9)*$H$15)*$B$24) + ((AD40*($K$16/$K$9)*$H$21)*$B$24))/$B$21 + (((AD72*(($K$12/$K$9)*(1-AG72))*(($H$11+$H$12)/2))*$B$23) + ((AD72*($K$13/$K$9)*$H$14)*$B$23) + ((AD72*($K$14/$K$9)*$H$18)*$B$24) + ((AD72*($K$15/$K$9)*$H$15)*$B$24) + ((AD72*($K$16/$K$9)*$H$21)*$B$24))/$B$21</f>
        <v>1268.3374943850954</v>
      </c>
      <c r="N33" s="27">
        <f>(((AE40*(($K$12/$K$9)*(1-AG40)*(($H$11+$H$12)/2))*$B$23)+((AE40*($K$13/$K$9)*$H$14)*$B$23)+((AE40*($K$14/$K$9)*$H$18)*$B$24)+((AE40*($K$15/$K$9)*$H$15)*$B$24)+((AE40*($K$16/$K$9)*$H$21)*$B$24))/$B$21+(((AE72*(($K$12/$K$9)*(1-AG72)*(($H$11+$H$12)/2))*$B$23)+((AE72*($K$13/$K$9)*$H$14)*$B$23)+((AE72*($K$14/$K$9)*$H$18)*$B$24)+((AE72*($K$15/$K$9)*$H$15)*$B$24)+((AE72*($K$16/$K$9)*$H$21)*$B$24))/$B$21))</f>
        <v>1212.4616717781553</v>
      </c>
      <c r="O33" s="19">
        <f>IFERROR(VLOOKUP($A33,'Parameter Values'!$A$78:$E$107,2,FALSE),'Parameter Values'!B$107)</f>
        <v>22500</v>
      </c>
      <c r="P33" s="19">
        <f>IFERROR(VLOOKUP($A33,'Parameter Values'!$A$78:$E$107,3,FALSE),'Parameter Values'!C$107)</f>
        <v>62300</v>
      </c>
      <c r="Q33" s="19">
        <f>IFERROR(VLOOKUP($A33,'Parameter Values'!$A$78:$E$107,4,FALSE),'Parameter Values'!D$107)</f>
        <v>1087900</v>
      </c>
      <c r="R33" s="19">
        <f>IFERROR(VLOOKUP($A33,'Parameter Values'!$A$78:$E$107,5,FALSE),'Parameter Values'!E$107)</f>
        <v>262</v>
      </c>
      <c r="S33" s="19">
        <f>(B33-C33)+((G33-H33)*O33)+((I33-J33)*P33)+((K33-L33)*Q33)</f>
        <v>3996.3996928543811</v>
      </c>
      <c r="T33" s="18">
        <f>(D33-E33)+((M33-N33)*R33)</f>
        <v>14639.465523018311</v>
      </c>
      <c r="W33" s="13"/>
      <c r="X33" s="176" t="s">
        <v>359</v>
      </c>
      <c r="Y33"/>
      <c r="Z33" s="176" t="s">
        <v>359</v>
      </c>
      <c r="AA33" t="s">
        <v>363</v>
      </c>
      <c r="AB33"/>
      <c r="AC33" t="s">
        <v>360</v>
      </c>
      <c r="AD33" t="s">
        <v>192</v>
      </c>
      <c r="AE33" t="s">
        <v>361</v>
      </c>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s="14"/>
    </row>
    <row r="34" spans="1:74" x14ac:dyDescent="0.25">
      <c r="A34" s="1">
        <f>IF(A33&lt;'Project Information'!B$11,A33+1,"")</f>
        <v>2030</v>
      </c>
      <c r="B34" s="136">
        <v>0</v>
      </c>
      <c r="C34" s="136">
        <v>0</v>
      </c>
      <c r="D34" s="136">
        <v>0</v>
      </c>
      <c r="E34" s="137">
        <v>0</v>
      </c>
      <c r="F34" s="1"/>
      <c r="G34" s="204">
        <f t="shared" ref="G34:G52" si="0">((AD41*$X$44*(1-AG41)*$B$11)/$B$21) + ((AD41*$X$42*$B$16)/$B$21) + ((AD41*$X$43*$B$16)/$B$21) + ((AD73*$X$76*(1-AG73)*$B$11)/$B$21) + ((AD73*$X$74*$B$16)/$B$21) + ((AD73*$X$75*$B$16)/$B$21)</f>
        <v>2.158919411162886</v>
      </c>
      <c r="H34" s="204">
        <f t="shared" ref="H34:H52" si="1">((AE41*$X$44*(1-AG41)*$B$11)/$B$21) + ((AE41*$X$42*$B$16)/$B$21) + ((AE41*$X$43*$B$16)/$B$21) + ((AE73*$X$76*(1-AG73)*$B$11)/$B$21) + ((AE73*$X$74*$B$16)/$B$21) + ((AE73*$X$75*$B$16)/$B$21)</f>
        <v>2.0053353216834817</v>
      </c>
      <c r="I34" s="27">
        <v>0</v>
      </c>
      <c r="J34" s="27">
        <v>0</v>
      </c>
      <c r="K34" s="205">
        <f t="shared" ref="K34:K52" si="2">((AD41*$X$42*(1-AG41)*$B$17)/$B$21) + ((AD41*$X$43*$B$17)/$B$21) + ((AD73*$X$74*(1-AG73)*$B$17)/$B$21) + ((AD73*$X$75*$B$17)/$B$21)</f>
        <v>4.0913926450458389E-2</v>
      </c>
      <c r="L34" s="205">
        <f t="shared" ref="L34:L52" si="3">((AE41*$X$42*(1-AG41)*$B$17)/$B$21) + ((AE41*$X$43*$B$17)/$B$21) + ((AE73*$X$74*(1-AG73)*$B$17)/$B$21) + ((AE73*$X$75*$B$17)/$B$21)</f>
        <v>3.8062218786861758E-2</v>
      </c>
      <c r="M34" s="27">
        <f t="shared" ref="M34:M52" si="4">(((AD41*(($K$12/$K$9)*(1-AG41))*(($H$11+$H$12)/2))*$B$23) + ((AD41*($K$13/$K$9)*$H$14)*$B$23) + ((AD41*($K$14/$K$9)*$H$18)*$B$24) + ((AD41*($K$15/$K$9)*$H$15)*$B$24) + ((AD41*($K$16/$K$9)*$H$21)*$B$24))/$B$21 + (((AD73*(($K$12/$K$9)*(1-AG73))*(($H$11+$H$12)/2))*$B$23) + ((AD73*($K$13/$K$9)*$H$14)*$B$23) + ((AD73*($K$14/$K$9)*$H$18)*$B$24) + ((AD73*($K$15/$K$9)*$H$15)*$B$24) + ((AD73*($K$16/$K$9)*$H$21)*$B$24))/$B$21</f>
        <v>1306.3310445253092</v>
      </c>
      <c r="N34" s="27">
        <f t="shared" ref="N34:N52" si="5">(((AE41*(($K$12/$K$9)*(1-AG41)*(($H$11+$H$12)/2))*$B$23)+((AE41*($K$13/$K$9)*$H$14)*$B$23)+((AE41*($K$14/$K$9)*$H$18)*$B$24)+((AE41*($K$15/$K$9)*$H$15)*$B$24)+((AE41*($K$16/$K$9)*$H$21)*$B$24))/$B$21+(((AE73*(($K$12/$K$9)*(1-AG73)*(($H$11+$H$12)/2))*$B$23)+((AE73*($K$13/$K$9)*$H$14)*$B$23)+((AE73*($K$14/$K$9)*$H$18)*$B$24)+((AE73*($K$15/$K$9)*$H$15)*$B$24)+((AE73*($K$16/$K$9)*$H$21)*$B$24))/$B$21))</f>
        <v>1211.2488325226454</v>
      </c>
      <c r="O34" s="19">
        <f>IFERROR(VLOOKUP($A34,'Parameter Values'!$A$78:$E$107,2,FALSE),'Parameter Values'!B$107)</f>
        <v>22900</v>
      </c>
      <c r="P34" s="19">
        <f>IFERROR(VLOOKUP($A34,'Parameter Values'!$A$78:$E$107,3,FALSE),'Parameter Values'!C$107)</f>
        <v>63700</v>
      </c>
      <c r="Q34" s="19">
        <f>IFERROR(VLOOKUP($A34,'Parameter Values'!$A$78:$E$107,4,FALSE),'Parameter Values'!D$107)</f>
        <v>1108000</v>
      </c>
      <c r="R34" s="19">
        <f>IFERROR(VLOOKUP($A34,'Parameter Values'!$A$78:$E$107,5,FALSE),'Parameter Values'!E$107)</f>
        <v>267</v>
      </c>
      <c r="S34" s="19">
        <f t="shared" ref="S34:S62" si="6">(B34-C34)+((G34-H34)*O34)+((I34-J34)*P34)+((K34-L34)*Q34)</f>
        <v>6676.7677403434245</v>
      </c>
      <c r="T34" s="18">
        <f t="shared" ref="T34:T62" si="7">(D34-E34)+((M34-N34)*R34)</f>
        <v>25386.950604711212</v>
      </c>
      <c r="W34" s="13" t="s">
        <v>362</v>
      </c>
      <c r="X34">
        <v>13578</v>
      </c>
      <c r="Y34"/>
      <c r="Z34" t="s">
        <v>4</v>
      </c>
      <c r="AB34" t="s">
        <v>364</v>
      </c>
      <c r="AC34" t="s">
        <v>365</v>
      </c>
      <c r="AD34" t="s">
        <v>366</v>
      </c>
      <c r="AE34" t="s">
        <v>365</v>
      </c>
      <c r="AF34" t="s">
        <v>367</v>
      </c>
      <c r="AG34" s="207" t="s">
        <v>485</v>
      </c>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s="14"/>
    </row>
    <row r="35" spans="1:74" x14ac:dyDescent="0.25">
      <c r="A35" s="1">
        <f>IF(A34&lt;'Project Information'!B$11,A34+1,"")</f>
        <v>2031</v>
      </c>
      <c r="B35" s="136">
        <v>0</v>
      </c>
      <c r="C35" s="136">
        <v>0</v>
      </c>
      <c r="D35" s="136">
        <v>0</v>
      </c>
      <c r="E35" s="137">
        <v>0</v>
      </c>
      <c r="F35" s="1"/>
      <c r="G35" s="204">
        <f t="shared" si="0"/>
        <v>2.2230941358797369</v>
      </c>
      <c r="H35" s="204">
        <f t="shared" si="1"/>
        <v>2.0081372481635964</v>
      </c>
      <c r="I35" s="27">
        <v>0</v>
      </c>
      <c r="J35" s="27">
        <v>0</v>
      </c>
      <c r="K35" s="205">
        <f t="shared" si="2"/>
        <v>4.1919664466668435E-2</v>
      </c>
      <c r="L35" s="205">
        <f t="shared" si="3"/>
        <v>3.7985407755881287E-2</v>
      </c>
      <c r="M35" s="27">
        <f t="shared" si="4"/>
        <v>1345.5204560635361</v>
      </c>
      <c r="N35" s="27">
        <f t="shared" si="5"/>
        <v>1210.994862883414</v>
      </c>
      <c r="O35" s="19">
        <f>IFERROR(VLOOKUP($A35,'Parameter Values'!$A$78:$E$107,2,FALSE),'Parameter Values'!B$107)</f>
        <v>22900</v>
      </c>
      <c r="P35" s="19">
        <f>IFERROR(VLOOKUP($A35,'Parameter Values'!$A$78:$E$107,3,FALSE),'Parameter Values'!C$107)</f>
        <v>63700</v>
      </c>
      <c r="Q35" s="19">
        <f>IFERROR(VLOOKUP($A35,'Parameter Values'!$A$78:$E$107,4,FALSE),'Parameter Values'!D$107)</f>
        <v>1108000</v>
      </c>
      <c r="R35" s="19">
        <f>IFERROR(VLOOKUP($A35,'Parameter Values'!$A$78:$E$107,5,FALSE),'Parameter Values'!E$107)</f>
        <v>272</v>
      </c>
      <c r="S35" s="19">
        <f t="shared" si="6"/>
        <v>9281.6691642517781</v>
      </c>
      <c r="T35" s="18">
        <f t="shared" si="7"/>
        <v>36590.961344993208</v>
      </c>
      <c r="W35" s="13" t="s">
        <v>369</v>
      </c>
      <c r="X35" s="178">
        <v>15918.905660377357</v>
      </c>
      <c r="Y35"/>
      <c r="Z35">
        <v>2023</v>
      </c>
      <c r="AA35" s="179">
        <v>13578</v>
      </c>
      <c r="AB35" s="179">
        <v>13578</v>
      </c>
      <c r="AC35" s="179">
        <f>($X$39*AA35*365)/3600</f>
        <v>170788.23283333331</v>
      </c>
      <c r="AD35" s="180"/>
      <c r="AE35" s="181"/>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s="14"/>
    </row>
    <row r="36" spans="1:74" x14ac:dyDescent="0.25">
      <c r="A36" s="1">
        <f>IF(A35&lt;'Project Information'!B$11,A35+1,"")</f>
        <v>2032</v>
      </c>
      <c r="B36" s="136">
        <v>0</v>
      </c>
      <c r="C36" s="136">
        <v>0</v>
      </c>
      <c r="D36" s="136">
        <v>0</v>
      </c>
      <c r="E36" s="137">
        <v>0</v>
      </c>
      <c r="F36" s="1"/>
      <c r="G36" s="204">
        <f t="shared" si="0"/>
        <v>2.2892832257648177</v>
      </c>
      <c r="H36" s="204">
        <f t="shared" si="1"/>
        <v>2.0126967607924628</v>
      </c>
      <c r="I36" s="27">
        <v>0</v>
      </c>
      <c r="J36" s="27">
        <v>0</v>
      </c>
      <c r="K36" s="205">
        <f t="shared" si="2"/>
        <v>4.2948629958865947E-2</v>
      </c>
      <c r="L36" s="205">
        <f t="shared" si="3"/>
        <v>3.7939023652685089E-2</v>
      </c>
      <c r="M36" s="27">
        <f t="shared" si="4"/>
        <v>1385.9453554543318</v>
      </c>
      <c r="N36" s="27">
        <f t="shared" si="5"/>
        <v>1211.7192501736661</v>
      </c>
      <c r="O36" s="19">
        <f>IFERROR(VLOOKUP($A36,'Parameter Values'!$A$78:$E$107,2,FALSE),'Parameter Values'!B$107)</f>
        <v>22900</v>
      </c>
      <c r="P36" s="19">
        <f>IFERROR(VLOOKUP($A36,'Parameter Values'!$A$78:$E$107,3,FALSE),'Parameter Values'!C$107)</f>
        <v>63700</v>
      </c>
      <c r="Q36" s="19">
        <f>IFERROR(VLOOKUP($A36,'Parameter Values'!$A$78:$E$107,4,FALSE),'Parameter Values'!D$107)</f>
        <v>1108000</v>
      </c>
      <c r="R36" s="19">
        <f>IFERROR(VLOOKUP($A36,'Parameter Values'!$A$78:$E$107,5,FALSE),'Parameter Values'!E$107)</f>
        <v>275</v>
      </c>
      <c r="S36" s="19">
        <f t="shared" si="6"/>
        <v>11884.473835115317</v>
      </c>
      <c r="T36" s="18">
        <f t="shared" si="7"/>
        <v>47912.178952183072</v>
      </c>
      <c r="W36" s="13" t="s">
        <v>370</v>
      </c>
      <c r="X36" s="178">
        <v>23012.490566037737</v>
      </c>
      <c r="Y36"/>
      <c r="Z36">
        <v>2024</v>
      </c>
      <c r="AA36" s="180">
        <f>AA35*(1 + $X$37)</f>
        <v>13658.245980000002</v>
      </c>
      <c r="AB36" s="180">
        <f>AB35*(1 + $X$38)</f>
        <v>13845.921096000002</v>
      </c>
      <c r="AC36" s="179">
        <f t="shared" ref="AC36:AC39" si="8">($X$39*AA36*365)/3600</f>
        <v>171797.59128937838</v>
      </c>
      <c r="AD36" s="180"/>
      <c r="AE36" s="181"/>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s="14"/>
    </row>
    <row r="37" spans="1:74" x14ac:dyDescent="0.25">
      <c r="A37" s="1">
        <f>IF(A36&lt;'Project Information'!B$11,A36+1,"")</f>
        <v>2033</v>
      </c>
      <c r="B37" s="136">
        <v>0</v>
      </c>
      <c r="C37" s="136">
        <v>0</v>
      </c>
      <c r="D37" s="136">
        <v>0</v>
      </c>
      <c r="E37" s="137">
        <v>0</v>
      </c>
      <c r="F37" s="1"/>
      <c r="G37" s="204">
        <f t="shared" si="0"/>
        <v>2.3575534874849264</v>
      </c>
      <c r="H37" s="204">
        <f t="shared" si="1"/>
        <v>2.0190515746937368</v>
      </c>
      <c r="I37" s="27">
        <v>0</v>
      </c>
      <c r="J37" s="27">
        <v>0</v>
      </c>
      <c r="K37" s="205">
        <f t="shared" si="2"/>
        <v>4.4001248090428616E-2</v>
      </c>
      <c r="L37" s="205">
        <f t="shared" si="3"/>
        <v>3.7923212576441219E-2</v>
      </c>
      <c r="M37" s="27">
        <f t="shared" si="4"/>
        <v>1427.6467439769945</v>
      </c>
      <c r="N37" s="27">
        <f t="shared" si="5"/>
        <v>1213.4426315185656</v>
      </c>
      <c r="O37" s="19">
        <f>IFERROR(VLOOKUP($A37,'Parameter Values'!$A$78:$E$107,2,FALSE),'Parameter Values'!B$107)</f>
        <v>22900</v>
      </c>
      <c r="P37" s="19">
        <f>IFERROR(VLOOKUP($A37,'Parameter Values'!$A$78:$E$107,3,FALSE),'Parameter Values'!C$107)</f>
        <v>63700</v>
      </c>
      <c r="Q37" s="19">
        <f>IFERROR(VLOOKUP($A37,'Parameter Values'!$A$78:$E$107,4,FALSE),'Parameter Values'!D$107)</f>
        <v>1108000</v>
      </c>
      <c r="R37" s="19">
        <f>IFERROR(VLOOKUP($A37,'Parameter Values'!$A$78:$E$107,5,FALSE),'Parameter Values'!E$107)</f>
        <v>280</v>
      </c>
      <c r="S37" s="19">
        <f t="shared" si="6"/>
        <v>14486.157152416279</v>
      </c>
      <c r="T37" s="18">
        <f t="shared" si="7"/>
        <v>59977.15148836009</v>
      </c>
      <c r="W37" s="13" t="s">
        <v>371</v>
      </c>
      <c r="X37">
        <v>5.9100000000000003E-3</v>
      </c>
      <c r="Y37"/>
      <c r="Z37">
        <v>2025</v>
      </c>
      <c r="AA37" s="180">
        <f t="shared" ref="AA37:AA62" si="9">AA36*(1 + $X$37)</f>
        <v>13738.966213741802</v>
      </c>
      <c r="AB37" s="180">
        <f t="shared" ref="AB37:AB62" si="10">AB36*(1 + $X$38)</f>
        <v>14119.128811066275</v>
      </c>
      <c r="AC37" s="179">
        <f t="shared" si="8"/>
        <v>172812.91505389856</v>
      </c>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s="14"/>
    </row>
    <row r="38" spans="1:74" x14ac:dyDescent="0.25">
      <c r="A38" s="1">
        <f>IF(A37&lt;'Project Information'!B$11,A37+1,"")</f>
        <v>2034</v>
      </c>
      <c r="B38" s="136">
        <v>0</v>
      </c>
      <c r="C38" s="136">
        <v>0</v>
      </c>
      <c r="D38" s="136">
        <v>0</v>
      </c>
      <c r="E38" s="137">
        <v>0</v>
      </c>
      <c r="F38" s="1"/>
      <c r="G38" s="204">
        <f t="shared" si="0"/>
        <v>2.4279740487626658</v>
      </c>
      <c r="H38" s="204">
        <f t="shared" si="1"/>
        <v>2.0272415362176792</v>
      </c>
      <c r="I38" s="27">
        <v>0</v>
      </c>
      <c r="J38" s="27">
        <v>0</v>
      </c>
      <c r="K38" s="205">
        <f t="shared" si="2"/>
        <v>4.507794385570793E-2</v>
      </c>
      <c r="L38" s="205">
        <f t="shared" si="3"/>
        <v>3.7938132732955071E-2</v>
      </c>
      <c r="M38" s="27">
        <f t="shared" si="4"/>
        <v>1470.6670471094856</v>
      </c>
      <c r="N38" s="27">
        <f t="shared" si="5"/>
        <v>1216.1868326844128</v>
      </c>
      <c r="O38" s="19">
        <f>IFERROR(VLOOKUP($A38,'Parameter Values'!$A$78:$E$107,2,FALSE),'Parameter Values'!B$107)</f>
        <v>22900</v>
      </c>
      <c r="P38" s="19">
        <f>IFERROR(VLOOKUP($A38,'Parameter Values'!$A$78:$E$107,3,FALSE),'Parameter Values'!C$107)</f>
        <v>63700</v>
      </c>
      <c r="Q38" s="19">
        <f>IFERROR(VLOOKUP($A38,'Parameter Values'!$A$78:$E$107,4,FALSE),'Parameter Values'!D$107)</f>
        <v>1108000</v>
      </c>
      <c r="R38" s="19">
        <f>IFERROR(VLOOKUP($A38,'Parameter Values'!$A$78:$E$107,5,FALSE),'Parameter Values'!E$107)</f>
        <v>284</v>
      </c>
      <c r="S38" s="19">
        <f t="shared" si="6"/>
        <v>17087.68526129036</v>
      </c>
      <c r="T38" s="18">
        <f t="shared" si="7"/>
        <v>72272.380896720657</v>
      </c>
      <c r="W38" s="13" t="s">
        <v>372</v>
      </c>
      <c r="X38">
        <v>1.9732E-2</v>
      </c>
      <c r="Y38"/>
      <c r="Z38">
        <v>2026</v>
      </c>
      <c r="AA38" s="180">
        <f t="shared" si="9"/>
        <v>13820.163504065016</v>
      </c>
      <c r="AB38" s="180">
        <f t="shared" si="10"/>
        <v>14397.727460766237</v>
      </c>
      <c r="AC38" s="179">
        <f t="shared" si="8"/>
        <v>173834.23938186711</v>
      </c>
      <c r="AD38" s="180"/>
      <c r="AE38" s="180"/>
      <c r="AF38" s="180"/>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s="14"/>
    </row>
    <row r="39" spans="1:74" x14ac:dyDescent="0.25">
      <c r="A39" s="1">
        <f>IF(A38&lt;'Project Information'!B$11,A38+1,"")</f>
        <v>2035</v>
      </c>
      <c r="B39" s="136">
        <v>0</v>
      </c>
      <c r="C39" s="136">
        <v>0</v>
      </c>
      <c r="D39" s="136">
        <v>0</v>
      </c>
      <c r="E39" s="137">
        <v>0</v>
      </c>
      <c r="F39" s="1"/>
      <c r="G39" s="204">
        <f t="shared" si="0"/>
        <v>2.5006164415741861</v>
      </c>
      <c r="H39" s="204">
        <f t="shared" si="1"/>
        <v>2.0373086940624208</v>
      </c>
      <c r="I39" s="27">
        <v>0</v>
      </c>
      <c r="J39" s="27">
        <v>0</v>
      </c>
      <c r="K39" s="205">
        <f t="shared" si="2"/>
        <v>4.6179141395346977E-2</v>
      </c>
      <c r="L39" s="205">
        <f t="shared" si="3"/>
        <v>3.798395399213593E-2</v>
      </c>
      <c r="M39" s="27">
        <f t="shared" si="4"/>
        <v>1515.0501657114771</v>
      </c>
      <c r="N39" s="27">
        <f t="shared" si="5"/>
        <v>1219.9749085520953</v>
      </c>
      <c r="O39" s="19">
        <f>IFERROR(VLOOKUP($A39,'Parameter Values'!$A$78:$E$107,2,FALSE),'Parameter Values'!B$107)</f>
        <v>22900</v>
      </c>
      <c r="P39" s="19">
        <f>IFERROR(VLOOKUP($A39,'Parameter Values'!$A$78:$E$107,3,FALSE),'Parameter Values'!C$107)</f>
        <v>63700</v>
      </c>
      <c r="Q39" s="19">
        <f>IFERROR(VLOOKUP($A39,'Parameter Values'!$A$78:$E$107,4,FALSE),'Parameter Values'!D$107)</f>
        <v>1108000</v>
      </c>
      <c r="R39" s="19">
        <f>IFERROR(VLOOKUP($A39,'Parameter Values'!$A$78:$E$107,5,FALSE),'Parameter Values'!E$107)</f>
        <v>288</v>
      </c>
      <c r="S39" s="19">
        <f t="shared" si="6"/>
        <v>19690.015060777267</v>
      </c>
      <c r="T39" s="18">
        <f t="shared" si="7"/>
        <v>84981.674061901984</v>
      </c>
      <c r="W39" s="13" t="s">
        <v>373</v>
      </c>
      <c r="X39">
        <v>124.06</v>
      </c>
      <c r="Y39"/>
      <c r="Z39">
        <v>2027</v>
      </c>
      <c r="AA39" s="180">
        <f t="shared" si="9"/>
        <v>13901.840670374042</v>
      </c>
      <c r="AB39" s="180">
        <f t="shared" si="10"/>
        <v>14681.823419022077</v>
      </c>
      <c r="AC39" s="179">
        <f t="shared" si="8"/>
        <v>174861.59973661401</v>
      </c>
      <c r="AD39" s="180"/>
      <c r="AE39" s="180"/>
      <c r="AF39" s="180"/>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s="14"/>
    </row>
    <row r="40" spans="1:74" x14ac:dyDescent="0.25">
      <c r="A40" s="1">
        <f>IF(A39&lt;'Project Information'!B$11,A39+1,"")</f>
        <v>2036</v>
      </c>
      <c r="B40" s="136">
        <v>0</v>
      </c>
      <c r="C40" s="136">
        <v>0</v>
      </c>
      <c r="D40" s="136">
        <v>0</v>
      </c>
      <c r="E40" s="137">
        <v>0</v>
      </c>
      <c r="F40" s="1"/>
      <c r="G40" s="204">
        <f t="shared" si="0"/>
        <v>2.5755546883683933</v>
      </c>
      <c r="H40" s="204">
        <f t="shared" si="1"/>
        <v>2.0492973733406061</v>
      </c>
      <c r="I40" s="27">
        <v>0</v>
      </c>
      <c r="J40" s="27">
        <v>0</v>
      </c>
      <c r="K40" s="205">
        <f t="shared" si="2"/>
        <v>4.7305263254351422E-2</v>
      </c>
      <c r="L40" s="205">
        <f t="shared" si="3"/>
        <v>3.8060857406606037E-2</v>
      </c>
      <c r="M40" s="27">
        <f t="shared" si="4"/>
        <v>1560.8415290831445</v>
      </c>
      <c r="N40" s="27">
        <f t="shared" si="5"/>
        <v>1224.8311852956122</v>
      </c>
      <c r="O40" s="19">
        <f>IFERROR(VLOOKUP($A40,'Parameter Values'!$A$78:$E$107,2,FALSE),'Parameter Values'!B$107)</f>
        <v>22900</v>
      </c>
      <c r="P40" s="19">
        <f>IFERROR(VLOOKUP($A40,'Parameter Values'!$A$78:$E$107,3,FALSE),'Parameter Values'!C$107)</f>
        <v>63700</v>
      </c>
      <c r="Q40" s="19">
        <f>IFERROR(VLOOKUP($A40,'Parameter Values'!$A$78:$E$107,4,FALSE),'Parameter Values'!D$107)</f>
        <v>1108000</v>
      </c>
      <c r="R40" s="19">
        <f>IFERROR(VLOOKUP($A40,'Parameter Values'!$A$78:$E$107,5,FALSE),'Parameter Values'!E$107)</f>
        <v>292</v>
      </c>
      <c r="S40" s="19">
        <f t="shared" si="6"/>
        <v>22294.094193438214</v>
      </c>
      <c r="T40" s="18">
        <f t="shared" si="7"/>
        <v>98115.020385959433</v>
      </c>
      <c r="W40" s="13" t="s">
        <v>374</v>
      </c>
      <c r="X40">
        <v>201.09</v>
      </c>
      <c r="Y40"/>
      <c r="Z40">
        <v>2028</v>
      </c>
      <c r="AA40" s="180">
        <f t="shared" si="9"/>
        <v>13984.000548735954</v>
      </c>
      <c r="AB40" s="180">
        <f t="shared" si="10"/>
        <v>14971.525158726223</v>
      </c>
      <c r="AC40" s="180"/>
      <c r="AD40" s="180">
        <f>AC39*(1+$X$46)</f>
        <v>179796.74439818223</v>
      </c>
      <c r="AE40" s="180">
        <f>AC39*(1+$X$47)</f>
        <v>171923.24754595765</v>
      </c>
      <c r="AF40" s="180">
        <f>AD40-AE40</f>
        <v>7873.4968522245763</v>
      </c>
      <c r="AG40" s="214">
        <v>0.02</v>
      </c>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s="14"/>
    </row>
    <row r="41" spans="1:74" x14ac:dyDescent="0.25">
      <c r="A41" s="1">
        <f>IF(A40&lt;'Project Information'!B$11,A40+1,"")</f>
        <v>2037</v>
      </c>
      <c r="B41" s="136">
        <v>0</v>
      </c>
      <c r="C41" s="136">
        <v>0</v>
      </c>
      <c r="D41" s="136">
        <v>0</v>
      </c>
      <c r="E41" s="137">
        <v>0</v>
      </c>
      <c r="F41" s="1"/>
      <c r="G41" s="204">
        <f t="shared" si="0"/>
        <v>2.6528653914166838</v>
      </c>
      <c r="H41" s="204">
        <f t="shared" si="1"/>
        <v>2.0632542526969484</v>
      </c>
      <c r="I41" s="27">
        <v>0</v>
      </c>
      <c r="J41" s="27">
        <v>0</v>
      </c>
      <c r="K41" s="205">
        <f t="shared" si="2"/>
        <v>4.845672957922665E-2</v>
      </c>
      <c r="L41" s="205">
        <f t="shared" si="3"/>
        <v>3.8169034688389628E-2</v>
      </c>
      <c r="M41" s="27">
        <f t="shared" si="4"/>
        <v>1608.0881499687521</v>
      </c>
      <c r="N41" s="27">
        <f t="shared" si="5"/>
        <v>1230.7813043288043</v>
      </c>
      <c r="O41" s="19">
        <f>IFERROR(VLOOKUP($A41,'Parameter Values'!$A$78:$E$107,2,FALSE),'Parameter Values'!B$107)</f>
        <v>22900</v>
      </c>
      <c r="P41" s="19">
        <f>IFERROR(VLOOKUP($A41,'Parameter Values'!$A$78:$E$107,3,FALSE),'Parameter Values'!C$107)</f>
        <v>63700</v>
      </c>
      <c r="Q41" s="19">
        <f>IFERROR(VLOOKUP($A41,'Parameter Values'!$A$78:$E$107,4,FALSE),'Parameter Values'!D$107)</f>
        <v>1108000</v>
      </c>
      <c r="R41" s="19">
        <f>IFERROR(VLOOKUP($A41,'Parameter Values'!$A$78:$E$107,5,FALSE),'Parameter Values'!E$107)</f>
        <v>297</v>
      </c>
      <c r="S41" s="19">
        <f t="shared" si="6"/>
        <v>24900.861015729359</v>
      </c>
      <c r="T41" s="18">
        <f t="shared" si="7"/>
        <v>112060.1331550645</v>
      </c>
      <c r="W41" s="13" t="s">
        <v>375</v>
      </c>
      <c r="X41">
        <v>49.72</v>
      </c>
      <c r="Y41"/>
      <c r="Z41">
        <v>2029</v>
      </c>
      <c r="AA41" s="180">
        <f t="shared" si="9"/>
        <v>14066.645991978985</v>
      </c>
      <c r="AB41" s="180">
        <f t="shared" si="10"/>
        <v>15266.943293158211</v>
      </c>
      <c r="AC41" s="180"/>
      <c r="AD41" s="180">
        <f>AD40*(1+$X$46)</f>
        <v>184871.17437377761</v>
      </c>
      <c r="AE41" s="180">
        <f>AE40*(1+$X$47)</f>
        <v>169034.27105362123</v>
      </c>
      <c r="AF41" s="180">
        <f t="shared" ref="AF41:AF62" si="11">AD41-AE41</f>
        <v>15836.903320156387</v>
      </c>
      <c r="AG41" s="214">
        <v>0.03</v>
      </c>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s="14"/>
    </row>
    <row r="42" spans="1:74" x14ac:dyDescent="0.25">
      <c r="A42" s="1">
        <f>IF(A41&lt;'Project Information'!B$11,A41+1,"")</f>
        <v>2038</v>
      </c>
      <c r="B42" s="136">
        <v>0</v>
      </c>
      <c r="C42" s="136">
        <v>0</v>
      </c>
      <c r="D42" s="136">
        <v>0</v>
      </c>
      <c r="E42" s="137">
        <v>0</v>
      </c>
      <c r="F42" s="1"/>
      <c r="G42" s="204">
        <f t="shared" si="0"/>
        <v>2.7326278254061402</v>
      </c>
      <c r="H42" s="204">
        <f t="shared" si="1"/>
        <v>2.0792284445860543</v>
      </c>
      <c r="I42" s="27">
        <v>0</v>
      </c>
      <c r="J42" s="27">
        <v>0</v>
      </c>
      <c r="K42" s="205">
        <f t="shared" si="2"/>
        <v>4.9633957250279019E-2</v>
      </c>
      <c r="L42" s="205">
        <f t="shared" si="3"/>
        <v>3.8308687640432978E-2</v>
      </c>
      <c r="M42" s="27">
        <f t="shared" si="4"/>
        <v>1656.8386815765987</v>
      </c>
      <c r="N42" s="27">
        <f t="shared" si="5"/>
        <v>1237.8522680857882</v>
      </c>
      <c r="O42" s="19">
        <f>IFERROR(VLOOKUP($A42,'Parameter Values'!$A$78:$E$107,2,FALSE),'Parameter Values'!B$107)</f>
        <v>22900</v>
      </c>
      <c r="P42" s="19">
        <f>IFERROR(VLOOKUP($A42,'Parameter Values'!$A$78:$E$107,3,FALSE),'Parameter Values'!C$107)</f>
        <v>63700</v>
      </c>
      <c r="Q42" s="19">
        <f>IFERROR(VLOOKUP($A42,'Parameter Values'!$A$78:$E$107,4,FALSE),'Parameter Values'!D$107)</f>
        <v>1108000</v>
      </c>
      <c r="R42" s="19">
        <f>IFERROR(VLOOKUP($A42,'Parameter Values'!$A$78:$E$107,5,FALSE),'Parameter Values'!E$107)</f>
        <v>301</v>
      </c>
      <c r="S42" s="19">
        <f t="shared" si="6"/>
        <v>27511.244548489383</v>
      </c>
      <c r="T42" s="18">
        <f t="shared" si="7"/>
        <v>126114.91046073395</v>
      </c>
      <c r="W42" s="13" t="s">
        <v>376</v>
      </c>
      <c r="X42">
        <v>0.10833701576078951</v>
      </c>
      <c r="Y42"/>
      <c r="Z42">
        <v>2030</v>
      </c>
      <c r="AA42" s="180">
        <f t="shared" si="9"/>
        <v>14149.779869791582</v>
      </c>
      <c r="AB42" s="180">
        <f t="shared" si="10"/>
        <v>15568.19061821881</v>
      </c>
      <c r="AC42" s="180"/>
      <c r="AD42" s="180">
        <f t="shared" ref="AD42:AD62" si="12">AD41*(1+$X$46)</f>
        <v>190088.82073331485</v>
      </c>
      <c r="AE42" s="180">
        <f t="shared" ref="AE42:AE62" si="13">AE41*(1+$X$47)</f>
        <v>166193.8405566194</v>
      </c>
      <c r="AF42" s="180">
        <f t="shared" si="11"/>
        <v>23894.980176695448</v>
      </c>
      <c r="AG42" s="214">
        <v>0.04</v>
      </c>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s="14"/>
    </row>
    <row r="43" spans="1:74" x14ac:dyDescent="0.25">
      <c r="A43" s="1">
        <f>IF(A42&lt;'Project Information'!B$11,A42+1,"")</f>
        <v>2039</v>
      </c>
      <c r="B43" s="136">
        <v>0</v>
      </c>
      <c r="C43" s="136">
        <v>0</v>
      </c>
      <c r="D43" s="136">
        <v>0</v>
      </c>
      <c r="E43" s="137">
        <v>0</v>
      </c>
      <c r="F43" s="1"/>
      <c r="G43" s="204">
        <f t="shared" si="0"/>
        <v>2.8149240333930425</v>
      </c>
      <c r="H43" s="204">
        <f t="shared" si="1"/>
        <v>2.0972715788238614</v>
      </c>
      <c r="I43" s="27">
        <v>0</v>
      </c>
      <c r="J43" s="27">
        <v>0</v>
      </c>
      <c r="K43" s="205">
        <f t="shared" si="2"/>
        <v>5.0837358944953011E-2</v>
      </c>
      <c r="L43" s="205">
        <f t="shared" si="3"/>
        <v>3.8480027539509472E-2</v>
      </c>
      <c r="M43" s="27">
        <f t="shared" si="4"/>
        <v>1707.1434766894781</v>
      </c>
      <c r="N43" s="27">
        <f t="shared" si="5"/>
        <v>1246.0724877031078</v>
      </c>
      <c r="O43" s="19">
        <f>IFERROR(VLOOKUP($A43,'Parameter Values'!$A$78:$E$107,2,FALSE),'Parameter Values'!B$107)</f>
        <v>22900</v>
      </c>
      <c r="P43" s="19">
        <f>IFERROR(VLOOKUP($A43,'Parameter Values'!$A$78:$E$107,3,FALSE),'Parameter Values'!C$107)</f>
        <v>63700</v>
      </c>
      <c r="Q43" s="19">
        <f>IFERROR(VLOOKUP($A43,'Parameter Values'!$A$78:$E$107,4,FALSE),'Parameter Values'!D$107)</f>
        <v>1108000</v>
      </c>
      <c r="R43" s="19">
        <f>IFERROR(VLOOKUP($A43,'Parameter Values'!$A$78:$E$107,5,FALSE),'Parameter Values'!E$107)</f>
        <v>305</v>
      </c>
      <c r="S43" s="19">
        <f t="shared" si="6"/>
        <v>30126.16440686569</v>
      </c>
      <c r="T43" s="18">
        <f t="shared" si="7"/>
        <v>140626.65164084296</v>
      </c>
      <c r="W43" s="13" t="s">
        <v>377</v>
      </c>
      <c r="X43">
        <v>6.4074237737516571E-3</v>
      </c>
      <c r="Y43"/>
      <c r="Z43">
        <v>2031</v>
      </c>
      <c r="AA43" s="180">
        <f t="shared" si="9"/>
        <v>14233.405068822052</v>
      </c>
      <c r="AB43" s="180">
        <f t="shared" si="10"/>
        <v>15875.382155497506</v>
      </c>
      <c r="AC43" s="180"/>
      <c r="AD43" s="180">
        <f t="shared" si="12"/>
        <v>195453.72549387327</v>
      </c>
      <c r="AE43" s="180">
        <f t="shared" si="13"/>
        <v>163401.14029419076</v>
      </c>
      <c r="AF43" s="180">
        <f t="shared" si="11"/>
        <v>32052.585199682508</v>
      </c>
      <c r="AG43" s="214">
        <v>0.05</v>
      </c>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s="14"/>
    </row>
    <row r="44" spans="1:74" x14ac:dyDescent="0.25">
      <c r="A44" s="1">
        <f>IF(A43&lt;'Project Information'!B$11,A43+1,"")</f>
        <v>2040</v>
      </c>
      <c r="B44" s="136">
        <v>0</v>
      </c>
      <c r="C44" s="136">
        <v>0</v>
      </c>
      <c r="D44" s="136">
        <v>0</v>
      </c>
      <c r="E44" s="137">
        <v>0</v>
      </c>
      <c r="F44" s="1"/>
      <c r="G44" s="204">
        <f t="shared" si="0"/>
        <v>2.8998389262376643</v>
      </c>
      <c r="H44" s="204">
        <f t="shared" si="1"/>
        <v>2.117437889530152</v>
      </c>
      <c r="I44" s="27">
        <v>0</v>
      </c>
      <c r="J44" s="27">
        <v>0</v>
      </c>
      <c r="K44" s="205">
        <f t="shared" si="2"/>
        <v>5.206734212783732E-2</v>
      </c>
      <c r="L44" s="205">
        <f t="shared" si="3"/>
        <v>3.8683274466854566E-2</v>
      </c>
      <c r="M44" s="27">
        <f t="shared" si="4"/>
        <v>1759.0546489425299</v>
      </c>
      <c r="N44" s="27">
        <f t="shared" si="5"/>
        <v>1255.4718326741508</v>
      </c>
      <c r="O44" s="19">
        <f>IFERROR(VLOOKUP($A44,'Parameter Values'!$A$78:$E$107,2,FALSE),'Parameter Values'!B$107)</f>
        <v>22900</v>
      </c>
      <c r="P44" s="19">
        <f>IFERROR(VLOOKUP($A44,'Parameter Values'!$A$78:$E$107,3,FALSE),'Parameter Values'!C$107)</f>
        <v>63700</v>
      </c>
      <c r="Q44" s="19">
        <f>IFERROR(VLOOKUP($A44,'Parameter Values'!$A$78:$E$107,4,FALSE),'Parameter Values'!D$107)</f>
        <v>1108000</v>
      </c>
      <c r="R44" s="19">
        <f>IFERROR(VLOOKUP($A44,'Parameter Values'!$A$78:$E$107,5,FALSE),'Parameter Values'!E$107)</f>
        <v>310</v>
      </c>
      <c r="S44" s="19">
        <f t="shared" si="6"/>
        <v>32746.530708970924</v>
      </c>
      <c r="T44" s="18">
        <f t="shared" si="7"/>
        <v>156110.67304319749</v>
      </c>
      <c r="W44" s="13" t="s">
        <v>378</v>
      </c>
      <c r="X44">
        <v>0.87082044483723675</v>
      </c>
      <c r="Y44"/>
      <c r="Z44">
        <v>2032</v>
      </c>
      <c r="AA44" s="180">
        <f t="shared" si="9"/>
        <v>14317.524492778792</v>
      </c>
      <c r="AB44" s="180">
        <f t="shared" si="10"/>
        <v>16188.635196189784</v>
      </c>
      <c r="AC44" s="180"/>
      <c r="AD44" s="180">
        <f t="shared" si="12"/>
        <v>200970.04475097507</v>
      </c>
      <c r="AE44" s="180">
        <f t="shared" si="13"/>
        <v>160655.36821351451</v>
      </c>
      <c r="AF44" s="180">
        <f t="shared" si="11"/>
        <v>40314.67653746056</v>
      </c>
      <c r="AG44" s="214">
        <v>0.06</v>
      </c>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s="14"/>
    </row>
    <row r="45" spans="1:74" x14ac:dyDescent="0.25">
      <c r="A45" s="1">
        <f>IF(A44&lt;'Project Information'!B$11,A44+1,"")</f>
        <v>2041</v>
      </c>
      <c r="B45" s="136">
        <v>0</v>
      </c>
      <c r="C45" s="136">
        <v>0</v>
      </c>
      <c r="D45" s="136">
        <v>0</v>
      </c>
      <c r="E45" s="137">
        <v>0</v>
      </c>
      <c r="F45" s="1"/>
      <c r="G45" s="204">
        <f t="shared" si="0"/>
        <v>2.9874603856455391</v>
      </c>
      <c r="H45" s="204">
        <f t="shared" si="1"/>
        <v>2.1397843055838344</v>
      </c>
      <c r="I45" s="27">
        <v>0</v>
      </c>
      <c r="J45" s="27">
        <v>0</v>
      </c>
      <c r="K45" s="205">
        <f t="shared" si="2"/>
        <v>5.332430796272071E-2</v>
      </c>
      <c r="L45" s="205">
        <f t="shared" si="3"/>
        <v>3.8918656582655725E-2</v>
      </c>
      <c r="M45" s="27">
        <f t="shared" si="4"/>
        <v>1812.6261363481128</v>
      </c>
      <c r="N45" s="27">
        <f t="shared" si="5"/>
        <v>1266.081682549077</v>
      </c>
      <c r="O45" s="19">
        <f>IFERROR(VLOOKUP($A45,'Parameter Values'!$A$78:$E$107,2,FALSE),'Parameter Values'!B$107)</f>
        <v>22900</v>
      </c>
      <c r="P45" s="19">
        <f>IFERROR(VLOOKUP($A45,'Parameter Values'!$A$78:$E$107,3,FALSE),'Parameter Values'!C$107)</f>
        <v>63700</v>
      </c>
      <c r="Q45" s="19">
        <f>IFERROR(VLOOKUP($A45,'Parameter Values'!$A$78:$E$107,4,FALSE),'Parameter Values'!D$107)</f>
        <v>1108000</v>
      </c>
      <c r="R45" s="19">
        <f>IFERROR(VLOOKUP($A45,'Parameter Values'!$A$78:$E$107,5,FALSE),'Parameter Values'!E$107)</f>
        <v>314</v>
      </c>
      <c r="S45" s="19">
        <f t="shared" si="6"/>
        <v>35373.243962525041</v>
      </c>
      <c r="T45" s="18">
        <f t="shared" si="7"/>
        <v>171614.95849289725</v>
      </c>
      <c r="W45" s="13" t="s">
        <v>379</v>
      </c>
      <c r="X45">
        <v>1.52</v>
      </c>
      <c r="Y45"/>
      <c r="Z45">
        <v>2033</v>
      </c>
      <c r="AA45" s="180">
        <f t="shared" si="9"/>
        <v>14402.141062531116</v>
      </c>
      <c r="AB45" s="180">
        <f t="shared" si="10"/>
        <v>16508.069345881002</v>
      </c>
      <c r="AC45" s="180"/>
      <c r="AD45" s="180">
        <f t="shared" si="12"/>
        <v>206642.05189823799</v>
      </c>
      <c r="AE45" s="180">
        <f t="shared" si="13"/>
        <v>157955.73573936394</v>
      </c>
      <c r="AF45" s="180">
        <f t="shared" si="11"/>
        <v>48686.316158874048</v>
      </c>
      <c r="AG45" s="214">
        <v>7.0000000000000007E-2</v>
      </c>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s="14"/>
    </row>
    <row r="46" spans="1:74" x14ac:dyDescent="0.25">
      <c r="A46" s="1">
        <f>IF(A45&lt;'Project Information'!B$11,A45+1,"")</f>
        <v>2042</v>
      </c>
      <c r="B46" s="136">
        <v>0</v>
      </c>
      <c r="C46" s="136">
        <v>0</v>
      </c>
      <c r="D46" s="136">
        <v>0</v>
      </c>
      <c r="E46" s="137">
        <v>0</v>
      </c>
      <c r="F46" s="1"/>
      <c r="G46" s="204">
        <f t="shared" si="0"/>
        <v>3.0778793709447472</v>
      </c>
      <c r="H46" s="204">
        <f t="shared" si="1"/>
        <v>2.1643705447170771</v>
      </c>
      <c r="I46" s="27">
        <v>0</v>
      </c>
      <c r="J46" s="27">
        <v>0</v>
      </c>
      <c r="K46" s="205">
        <f t="shared" si="2"/>
        <v>5.4608650141812896E-2</v>
      </c>
      <c r="L46" s="205">
        <f t="shared" si="3"/>
        <v>3.9186409340288574E-2</v>
      </c>
      <c r="M46" s="27">
        <f t="shared" si="4"/>
        <v>1867.9137671502576</v>
      </c>
      <c r="N46" s="27">
        <f t="shared" si="5"/>
        <v>1277.9349807562148</v>
      </c>
      <c r="O46" s="19">
        <f>IFERROR(VLOOKUP($A46,'Parameter Values'!$A$78:$E$107,2,FALSE),'Parameter Values'!B$107)</f>
        <v>22900</v>
      </c>
      <c r="P46" s="19">
        <f>IFERROR(VLOOKUP($A46,'Parameter Values'!$A$78:$E$107,3,FALSE),'Parameter Values'!C$107)</f>
        <v>63700</v>
      </c>
      <c r="Q46" s="19">
        <f>IFERROR(VLOOKUP($A46,'Parameter Values'!$A$78:$E$107,4,FALSE),'Parameter Values'!D$107)</f>
        <v>1108000</v>
      </c>
      <c r="R46" s="19">
        <f>IFERROR(VLOOKUP($A46,'Parameter Values'!$A$78:$E$107,5,FALSE),'Parameter Values'!E$107)</f>
        <v>319</v>
      </c>
      <c r="S46" s="19">
        <f t="shared" si="6"/>
        <v>38007.194928702593</v>
      </c>
      <c r="T46" s="18">
        <f t="shared" si="7"/>
        <v>188203.23285969967</v>
      </c>
      <c r="W46" s="13" t="s">
        <v>380</v>
      </c>
      <c r="X46">
        <v>2.8223147157533744E-2</v>
      </c>
      <c r="Y46"/>
      <c r="Z46">
        <v>2034</v>
      </c>
      <c r="AA46" s="180">
        <f t="shared" si="9"/>
        <v>14487.257716210677</v>
      </c>
      <c r="AB46" s="180">
        <f t="shared" si="10"/>
        <v>16833.806570213928</v>
      </c>
      <c r="AC46" s="180"/>
      <c r="AD46" s="180">
        <f t="shared" si="12"/>
        <v>212474.14093789671</v>
      </c>
      <c r="AE46" s="180">
        <f t="shared" si="13"/>
        <v>155301.46754763063</v>
      </c>
      <c r="AF46" s="180">
        <f t="shared" si="11"/>
        <v>57172.673390266078</v>
      </c>
      <c r="AG46" s="214">
        <v>0.08</v>
      </c>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s="14"/>
    </row>
    <row r="47" spans="1:74" x14ac:dyDescent="0.25">
      <c r="A47" s="1">
        <f>IF(A46&lt;'Project Information'!B$11,A46+1,"")</f>
        <v>2043</v>
      </c>
      <c r="B47" s="136">
        <v>0</v>
      </c>
      <c r="C47" s="136">
        <v>0</v>
      </c>
      <c r="D47" s="136">
        <v>0</v>
      </c>
      <c r="E47" s="137">
        <v>0</v>
      </c>
      <c r="F47" s="1"/>
      <c r="G47" s="204">
        <f t="shared" si="0"/>
        <v>3.1711900297332978</v>
      </c>
      <c r="H47" s="204">
        <f t="shared" si="1"/>
        <v>2.191259211378918</v>
      </c>
      <c r="I47" s="27">
        <v>0</v>
      </c>
      <c r="J47" s="27">
        <v>0</v>
      </c>
      <c r="K47" s="205">
        <f t="shared" si="2"/>
        <v>5.5920753626965303E-2</v>
      </c>
      <c r="L47" s="205">
        <f t="shared" si="3"/>
        <v>3.9486774635944931E-2</v>
      </c>
      <c r="M47" s="27">
        <f t="shared" si="4"/>
        <v>1924.9753280942141</v>
      </c>
      <c r="N47" s="27">
        <f t="shared" si="5"/>
        <v>1291.066290623784</v>
      </c>
      <c r="O47" s="19">
        <f>IFERROR(VLOOKUP($A47,'Parameter Values'!$A$78:$E$107,2,FALSE),'Parameter Values'!B$107)</f>
        <v>22900</v>
      </c>
      <c r="P47" s="19">
        <f>IFERROR(VLOOKUP($A47,'Parameter Values'!$A$78:$E$107,3,FALSE),'Parameter Values'!C$107)</f>
        <v>63700</v>
      </c>
      <c r="Q47" s="19">
        <f>IFERROR(VLOOKUP($A47,'Parameter Values'!$A$78:$E$107,4,FALSE),'Parameter Values'!D$107)</f>
        <v>1108000</v>
      </c>
      <c r="R47" s="19">
        <f>IFERROR(VLOOKUP($A47,'Parameter Values'!$A$78:$E$107,5,FALSE),'Parameter Values'!E$107)</f>
        <v>324</v>
      </c>
      <c r="S47" s="19">
        <f t="shared" si="6"/>
        <v>40649.264462365871</v>
      </c>
      <c r="T47" s="18">
        <f t="shared" si="7"/>
        <v>205386.52814041937</v>
      </c>
      <c r="W47" s="13" t="s">
        <v>381</v>
      </c>
      <c r="X47">
        <v>-1.6803873435232528E-2</v>
      </c>
      <c r="Y47"/>
      <c r="Z47">
        <v>2035</v>
      </c>
      <c r="AA47" s="180">
        <f t="shared" si="9"/>
        <v>14572.877409313483</v>
      </c>
      <c r="AB47" s="180">
        <f t="shared" si="10"/>
        <v>17165.971241457391</v>
      </c>
      <c r="AC47" s="180"/>
      <c r="AD47" s="180">
        <f t="shared" si="12"/>
        <v>218470.82988475755</v>
      </c>
      <c r="AE47" s="180">
        <f t="shared" si="13"/>
        <v>152691.80134265439</v>
      </c>
      <c r="AF47" s="180">
        <f t="shared" si="11"/>
        <v>65779.028542103159</v>
      </c>
      <c r="AG47" s="214">
        <v>0.09</v>
      </c>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s="14"/>
    </row>
    <row r="48" spans="1:74" x14ac:dyDescent="0.25">
      <c r="A48" s="1">
        <f>IF(A47&lt;'Project Information'!B$11,A47+1,"")</f>
        <v>2044</v>
      </c>
      <c r="B48" s="136">
        <v>0</v>
      </c>
      <c r="C48" s="136">
        <v>0</v>
      </c>
      <c r="D48" s="136">
        <v>0</v>
      </c>
      <c r="E48" s="137">
        <v>0</v>
      </c>
      <c r="F48" s="1"/>
      <c r="G48" s="204">
        <f t="shared" si="0"/>
        <v>3.2674898125352847</v>
      </c>
      <c r="H48" s="204">
        <f t="shared" si="1"/>
        <v>2.2205158985036406</v>
      </c>
      <c r="I48" s="27">
        <v>0</v>
      </c>
      <c r="J48" s="27">
        <v>0</v>
      </c>
      <c r="K48" s="205">
        <f t="shared" si="2"/>
        <v>5.7260993297430993E-2</v>
      </c>
      <c r="L48" s="205">
        <f t="shared" si="3"/>
        <v>3.9819999889037755E-2</v>
      </c>
      <c r="M48" s="27">
        <f t="shared" si="4"/>
        <v>1983.8706351997175</v>
      </c>
      <c r="N48" s="27">
        <f t="shared" si="5"/>
        <v>1305.5118536837094</v>
      </c>
      <c r="O48" s="19">
        <f>IFERROR(VLOOKUP($A48,'Parameter Values'!$A$78:$E$107,2,FALSE),'Parameter Values'!B$107)</f>
        <v>22900</v>
      </c>
      <c r="P48" s="19">
        <f>IFERROR(VLOOKUP($A48,'Parameter Values'!$A$78:$E$107,3,FALSE),'Parameter Values'!C$107)</f>
        <v>63700</v>
      </c>
      <c r="Q48" s="19">
        <f>IFERROR(VLOOKUP($A48,'Parameter Values'!$A$78:$E$107,4,FALSE),'Parameter Values'!D$107)</f>
        <v>1108000</v>
      </c>
      <c r="R48" s="19">
        <f>IFERROR(VLOOKUP($A48,'Parameter Values'!$A$78:$E$107,5,FALSE),'Parameter Values'!E$107)</f>
        <v>328</v>
      </c>
      <c r="S48" s="19">
        <f t="shared" si="6"/>
        <v>43300.323327824357</v>
      </c>
      <c r="T48" s="18">
        <f t="shared" si="7"/>
        <v>222501.68033725064</v>
      </c>
      <c r="W48" s="13"/>
      <c r="X48"/>
      <c r="Y48"/>
      <c r="Z48">
        <v>2036</v>
      </c>
      <c r="AA48" s="180">
        <f t="shared" si="9"/>
        <v>14659.003114802528</v>
      </c>
      <c r="AB48" s="180">
        <f t="shared" si="10"/>
        <v>17504.69018599383</v>
      </c>
      <c r="AC48" s="180"/>
      <c r="AD48" s="180">
        <f t="shared" si="12"/>
        <v>224636.76426622359</v>
      </c>
      <c r="AE48" s="180">
        <f t="shared" si="13"/>
        <v>150125.98763829476</v>
      </c>
      <c r="AF48" s="180">
        <f t="shared" si="11"/>
        <v>74510.776627928833</v>
      </c>
      <c r="AG48" s="214">
        <v>0.1</v>
      </c>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s="14"/>
    </row>
    <row r="49" spans="1:74" x14ac:dyDescent="0.25">
      <c r="A49" s="1">
        <f>IF(A48&lt;'Project Information'!B$11,A48+1,"")</f>
        <v>2045</v>
      </c>
      <c r="B49" s="136">
        <v>0</v>
      </c>
      <c r="C49" s="136">
        <v>0</v>
      </c>
      <c r="D49" s="136">
        <v>0</v>
      </c>
      <c r="E49" s="137">
        <v>0</v>
      </c>
      <c r="F49" s="1"/>
      <c r="G49" s="204">
        <f t="shared" si="0"/>
        <v>3.3668795916093828</v>
      </c>
      <c r="H49" s="204">
        <f t="shared" si="1"/>
        <v>2.2522092933240336</v>
      </c>
      <c r="I49" s="27">
        <v>0</v>
      </c>
      <c r="J49" s="27">
        <v>0</v>
      </c>
      <c r="K49" s="205">
        <f t="shared" si="2"/>
        <v>5.8629732498391228E-2</v>
      </c>
      <c r="L49" s="205">
        <f t="shared" si="3"/>
        <v>4.0186337048493156E-2</v>
      </c>
      <c r="M49" s="27">
        <f t="shared" si="4"/>
        <v>2044.6616071298051</v>
      </c>
      <c r="N49" s="27">
        <f t="shared" si="5"/>
        <v>1321.3096503423812</v>
      </c>
      <c r="O49" s="19">
        <f>IFERROR(VLOOKUP($A49,'Parameter Values'!$A$78:$E$107,2,FALSE),'Parameter Values'!B$107)</f>
        <v>22900</v>
      </c>
      <c r="P49" s="19">
        <f>IFERROR(VLOOKUP($A49,'Parameter Values'!$A$78:$E$107,3,FALSE),'Parameter Values'!C$107)</f>
        <v>63700</v>
      </c>
      <c r="Q49" s="19">
        <f>IFERROR(VLOOKUP($A49,'Parameter Values'!$A$78:$E$107,4,FALSE),'Parameter Values'!D$107)</f>
        <v>1108000</v>
      </c>
      <c r="R49" s="19">
        <f>IFERROR(VLOOKUP($A49,'Parameter Values'!$A$78:$E$107,5,FALSE),'Parameter Values'!E$107)</f>
        <v>333</v>
      </c>
      <c r="S49" s="19">
        <f t="shared" si="6"/>
        <v>45961.23198922156</v>
      </c>
      <c r="T49" s="18">
        <f t="shared" si="7"/>
        <v>240876.20161021216</v>
      </c>
      <c r="W49" s="13"/>
      <c r="X49"/>
      <c r="Y49"/>
      <c r="Z49">
        <v>2037</v>
      </c>
      <c r="AA49" s="180">
        <f t="shared" si="9"/>
        <v>14745.637823211013</v>
      </c>
      <c r="AB49" s="180">
        <f t="shared" si="10"/>
        <v>17850.092732743862</v>
      </c>
      <c r="AC49" s="180"/>
      <c r="AD49" s="180">
        <f t="shared" si="12"/>
        <v>230976.72072110145</v>
      </c>
      <c r="AE49" s="180">
        <f t="shared" si="13"/>
        <v>147603.28954268157</v>
      </c>
      <c r="AF49" s="180">
        <f t="shared" si="11"/>
        <v>83373.43117841988</v>
      </c>
      <c r="AG49" s="214">
        <v>0.11</v>
      </c>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s="14"/>
    </row>
    <row r="50" spans="1:74" x14ac:dyDescent="0.25">
      <c r="A50" s="1">
        <f>IF(A49&lt;'Project Information'!B$11,A49+1,"")</f>
        <v>2046</v>
      </c>
      <c r="B50" s="136">
        <v>0</v>
      </c>
      <c r="C50" s="136">
        <v>0</v>
      </c>
      <c r="D50" s="136">
        <v>0</v>
      </c>
      <c r="E50" s="137">
        <v>0</v>
      </c>
      <c r="F50" s="1"/>
      <c r="G50" s="204">
        <f t="shared" si="0"/>
        <v>3.4694637840581199</v>
      </c>
      <c r="H50" s="204">
        <f t="shared" si="1"/>
        <v>2.2864112873746572</v>
      </c>
      <c r="I50" s="27">
        <v>0</v>
      </c>
      <c r="J50" s="27">
        <v>0</v>
      </c>
      <c r="K50" s="205">
        <f t="shared" si="2"/>
        <v>6.0027321484147536E-2</v>
      </c>
      <c r="L50" s="205">
        <f t="shared" si="3"/>
        <v>4.0586041519749143E-2</v>
      </c>
      <c r="M50" s="27">
        <f t="shared" si="4"/>
        <v>2107.4123412503145</v>
      </c>
      <c r="N50" s="27">
        <f t="shared" si="5"/>
        <v>1338.4994630063661</v>
      </c>
      <c r="O50" s="19">
        <f>IFERROR(VLOOKUP($A50,'Parameter Values'!$A$78:$E$107,2,FALSE),'Parameter Values'!B$107)</f>
        <v>22900</v>
      </c>
      <c r="P50" s="19">
        <f>IFERROR(VLOOKUP($A50,'Parameter Values'!$A$78:$E$107,3,FALSE),'Parameter Values'!C$107)</f>
        <v>63700</v>
      </c>
      <c r="Q50" s="19">
        <f>IFERROR(VLOOKUP($A50,'Parameter Values'!$A$78:$E$107,4,FALSE),'Parameter Values'!D$107)</f>
        <v>1108000</v>
      </c>
      <c r="R50" s="19">
        <f>IFERROR(VLOOKUP($A50,'Parameter Values'!$A$78:$E$107,5,FALSE),'Parameter Values'!E$107)</f>
        <v>338</v>
      </c>
      <c r="S50" s="19">
        <f t="shared" si="6"/>
        <v>48632.840374604719</v>
      </c>
      <c r="T50" s="18">
        <f t="shared" si="7"/>
        <v>259892.55284645455</v>
      </c>
      <c r="W50" s="13"/>
      <c r="X50"/>
      <c r="Y50"/>
      <c r="Z50">
        <v>2038</v>
      </c>
      <c r="AA50" s="180">
        <f t="shared" si="9"/>
        <v>14832.784542746191</v>
      </c>
      <c r="AB50" s="180">
        <f t="shared" si="10"/>
        <v>18202.310762546367</v>
      </c>
      <c r="AC50" s="180"/>
      <c r="AD50" s="180">
        <f t="shared" si="12"/>
        <v>237495.6106999777</v>
      </c>
      <c r="AE50" s="180">
        <f t="shared" si="13"/>
        <v>145122.98254658238</v>
      </c>
      <c r="AF50" s="180">
        <f t="shared" si="11"/>
        <v>92372.628153395315</v>
      </c>
      <c r="AG50" s="214">
        <v>0.12</v>
      </c>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s="14"/>
    </row>
    <row r="51" spans="1:74" x14ac:dyDescent="0.25">
      <c r="A51" s="1">
        <f>IF(A50&lt;'Project Information'!B$11,A50+1,"")</f>
        <v>2047</v>
      </c>
      <c r="B51" s="136">
        <v>0</v>
      </c>
      <c r="C51" s="136">
        <v>0</v>
      </c>
      <c r="D51" s="136">
        <v>0</v>
      </c>
      <c r="E51" s="137">
        <v>0</v>
      </c>
      <c r="F51" s="1"/>
      <c r="G51" s="204">
        <f t="shared" si="0"/>
        <v>3.5753504793915578</v>
      </c>
      <c r="H51" s="204">
        <f t="shared" si="1"/>
        <v>2.323197090835381</v>
      </c>
      <c r="I51" s="27">
        <v>0</v>
      </c>
      <c r="J51" s="27">
        <v>0</v>
      </c>
      <c r="K51" s="205">
        <f t="shared" si="2"/>
        <v>6.1454095749531444E-2</v>
      </c>
      <c r="L51" s="205">
        <f t="shared" si="3"/>
        <v>4.1019371006974545E-2</v>
      </c>
      <c r="M51" s="27">
        <f t="shared" si="4"/>
        <v>2172.1891924786332</v>
      </c>
      <c r="N51" s="27">
        <f t="shared" si="5"/>
        <v>1357.1229417543532</v>
      </c>
      <c r="O51" s="19">
        <f>IFERROR(VLOOKUP($A51,'Parameter Values'!$A$78:$E$107,2,FALSE),'Parameter Values'!B$107)</f>
        <v>22900</v>
      </c>
      <c r="P51" s="19">
        <f>IFERROR(VLOOKUP($A51,'Parameter Values'!$A$78:$E$107,3,FALSE),'Parameter Values'!C$107)</f>
        <v>63700</v>
      </c>
      <c r="Q51" s="19">
        <f>IFERROR(VLOOKUP($A51,'Parameter Values'!$A$78:$E$107,4,FALSE),'Parameter Values'!D$107)</f>
        <v>1108000</v>
      </c>
      <c r="R51" s="19">
        <f>IFERROR(VLOOKUP($A51,'Parameter Values'!$A$78:$E$107,5,FALSE),'Parameter Values'!E$107)</f>
        <v>344</v>
      </c>
      <c r="S51" s="19">
        <f t="shared" si="6"/>
        <v>51315.987612689496</v>
      </c>
      <c r="T51" s="18">
        <f t="shared" si="7"/>
        <v>280382.79024915234</v>
      </c>
      <c r="W51" s="13"/>
      <c r="X51"/>
      <c r="Y51"/>
      <c r="Z51">
        <v>2039</v>
      </c>
      <c r="AA51" s="180">
        <f t="shared" si="9"/>
        <v>14920.446299393821</v>
      </c>
      <c r="AB51" s="180">
        <f t="shared" si="10"/>
        <v>18561.478758512934</v>
      </c>
      <c r="AC51" s="180"/>
      <c r="AD51" s="180">
        <f t="shared" si="12"/>
        <v>244198.48427003153</v>
      </c>
      <c r="AE51" s="180">
        <f t="shared" si="13"/>
        <v>142684.35431532617</v>
      </c>
      <c r="AF51" s="180">
        <f t="shared" si="11"/>
        <v>101514.12995470536</v>
      </c>
      <c r="AG51" s="214">
        <v>0.13</v>
      </c>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s="14"/>
    </row>
    <row r="52" spans="1:74" x14ac:dyDescent="0.25">
      <c r="A52" s="1">
        <f>IF(A51&lt;'Project Information'!B$11,A51+1,"")</f>
        <v>2048</v>
      </c>
      <c r="B52" s="136">
        <v>0</v>
      </c>
      <c r="C52" s="136">
        <v>0</v>
      </c>
      <c r="D52" s="136">
        <v>0</v>
      </c>
      <c r="E52" s="137">
        <v>0</v>
      </c>
      <c r="F52" s="1"/>
      <c r="G52" s="204">
        <f t="shared" si="0"/>
        <v>3.7008570078990841</v>
      </c>
      <c r="H52" s="204">
        <f t="shared" si="1"/>
        <v>2.3724964797394077</v>
      </c>
      <c r="I52" s="27">
        <v>0</v>
      </c>
      <c r="J52" s="27">
        <v>0</v>
      </c>
      <c r="K52" s="205">
        <f t="shared" si="2"/>
        <v>6.3644936249855705E-2</v>
      </c>
      <c r="L52" s="205">
        <f t="shared" si="3"/>
        <v>4.1969128958936314E-2</v>
      </c>
      <c r="M52" s="27">
        <f t="shared" si="4"/>
        <v>2246.761869183847</v>
      </c>
      <c r="N52" s="27">
        <f t="shared" si="5"/>
        <v>1381.960488525644</v>
      </c>
      <c r="O52" s="19">
        <f>IFERROR(VLOOKUP($A52,'Parameter Values'!$A$78:$E$107,2,FALSE),'Parameter Values'!B$107)</f>
        <v>22900</v>
      </c>
      <c r="P52" s="19">
        <f>IFERROR(VLOOKUP($A52,'Parameter Values'!$A$78:$E$107,3,FALSE),'Parameter Values'!C$107)</f>
        <v>63700</v>
      </c>
      <c r="Q52" s="19">
        <f>IFERROR(VLOOKUP($A52,'Parameter Values'!$A$78:$E$107,4,FALSE),'Parameter Values'!D$107)</f>
        <v>1108000</v>
      </c>
      <c r="R52" s="19">
        <f>IFERROR(VLOOKUP($A52,'Parameter Values'!$A$78:$E$107,5,FALSE),'Parameter Values'!E$107)</f>
        <v>348</v>
      </c>
      <c r="S52" s="19">
        <f t="shared" si="6"/>
        <v>54436.25057319527</v>
      </c>
      <c r="T52" s="18">
        <f t="shared" si="7"/>
        <v>300950.88046905462</v>
      </c>
      <c r="W52" s="13"/>
      <c r="X52"/>
      <c r="Y52"/>
      <c r="Z52">
        <v>2040</v>
      </c>
      <c r="AA52" s="180">
        <f t="shared" si="9"/>
        <v>15008.626137023241</v>
      </c>
      <c r="AB52" s="180">
        <f t="shared" si="10"/>
        <v>18927.733857375912</v>
      </c>
      <c r="AC52" s="180"/>
      <c r="AD52" s="180">
        <f t="shared" si="12"/>
        <v>251090.53402723133</v>
      </c>
      <c r="AE52" s="180">
        <f t="shared" si="13"/>
        <v>140286.70448422356</v>
      </c>
      <c r="AF52" s="180">
        <f t="shared" si="11"/>
        <v>110803.82954300777</v>
      </c>
      <c r="AG52" s="214">
        <v>0.14000000000000001</v>
      </c>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s="14"/>
    </row>
    <row r="53" spans="1:74" x14ac:dyDescent="0.25">
      <c r="A53" s="1" t="str">
        <f>IF(A52&lt;'Project Information'!B$11,A52+1,"")</f>
        <v/>
      </c>
      <c r="B53" s="136">
        <v>0</v>
      </c>
      <c r="C53" s="136">
        <v>0</v>
      </c>
      <c r="D53" s="136">
        <v>0</v>
      </c>
      <c r="E53" s="137">
        <v>0</v>
      </c>
      <c r="F53" s="1"/>
      <c r="G53" s="204">
        <v>0</v>
      </c>
      <c r="H53" s="204">
        <v>0</v>
      </c>
      <c r="I53" s="27">
        <v>0</v>
      </c>
      <c r="J53" s="27">
        <v>0</v>
      </c>
      <c r="K53" s="205">
        <v>0</v>
      </c>
      <c r="L53" s="205">
        <v>0</v>
      </c>
      <c r="M53" s="27">
        <v>0</v>
      </c>
      <c r="N53" s="27">
        <v>0</v>
      </c>
      <c r="O53" s="19">
        <f>IFERROR(VLOOKUP($A53,'Parameter Values'!$A$78:$E$107,2,FALSE),'Parameter Values'!B$107)</f>
        <v>22900</v>
      </c>
      <c r="P53" s="19">
        <f>IFERROR(VLOOKUP($A53,'Parameter Values'!$A$78:$E$107,3,FALSE),'Parameter Values'!C$107)</f>
        <v>63700</v>
      </c>
      <c r="Q53" s="19">
        <f>IFERROR(VLOOKUP($A53,'Parameter Values'!$A$78:$E$107,4,FALSE),'Parameter Values'!D$107)</f>
        <v>1108000</v>
      </c>
      <c r="R53" s="19">
        <f>IFERROR(VLOOKUP($A53,'Parameter Values'!$A$78:$E$107,5,FALSE),'Parameter Values'!E$107)</f>
        <v>366</v>
      </c>
      <c r="S53" s="19">
        <f t="shared" si="6"/>
        <v>0</v>
      </c>
      <c r="T53" s="18">
        <f t="shared" si="7"/>
        <v>0</v>
      </c>
      <c r="W53" s="13"/>
      <c r="X53"/>
      <c r="Y53"/>
      <c r="Z53">
        <v>2041</v>
      </c>
      <c r="AA53" s="180">
        <f t="shared" si="9"/>
        <v>15097.327117493049</v>
      </c>
      <c r="AB53" s="180">
        <f t="shared" si="10"/>
        <v>19301.215901849653</v>
      </c>
      <c r="AC53" s="180"/>
      <c r="AD53" s="180">
        <f t="shared" si="12"/>
        <v>258177.09911894563</v>
      </c>
      <c r="AE53" s="180">
        <f t="shared" si="13"/>
        <v>137929.3444574248</v>
      </c>
      <c r="AF53" s="180">
        <f t="shared" si="11"/>
        <v>120247.75466152083</v>
      </c>
      <c r="AG53" s="214">
        <v>0.15</v>
      </c>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s="14"/>
    </row>
    <row r="54" spans="1:74" x14ac:dyDescent="0.25">
      <c r="A54" s="1" t="str">
        <f>IF(A53&lt;'Project Information'!B$11,A53+1,"")</f>
        <v/>
      </c>
      <c r="B54" s="136">
        <v>0</v>
      </c>
      <c r="C54" s="136">
        <v>0</v>
      </c>
      <c r="D54" s="136">
        <v>0</v>
      </c>
      <c r="E54" s="137">
        <v>0</v>
      </c>
      <c r="F54" s="1"/>
      <c r="G54" s="27">
        <v>0</v>
      </c>
      <c r="H54" s="27">
        <v>0</v>
      </c>
      <c r="I54" s="27">
        <v>0</v>
      </c>
      <c r="J54" s="27">
        <v>0</v>
      </c>
      <c r="K54" s="205"/>
      <c r="L54" s="205"/>
      <c r="M54" s="27"/>
      <c r="N54" s="27"/>
      <c r="O54" s="19">
        <f>IFERROR(VLOOKUP($A54,'Parameter Values'!$A$78:$E$107,2,FALSE),'Parameter Values'!B$107)</f>
        <v>22900</v>
      </c>
      <c r="P54" s="19">
        <f>IFERROR(VLOOKUP($A54,'Parameter Values'!$A$78:$E$107,3,FALSE),'Parameter Values'!C$107)</f>
        <v>63700</v>
      </c>
      <c r="Q54" s="19">
        <f>IFERROR(VLOOKUP($A54,'Parameter Values'!$A$78:$E$107,4,FALSE),'Parameter Values'!D$107)</f>
        <v>1108000</v>
      </c>
      <c r="R54" s="19">
        <f>IFERROR(VLOOKUP($A54,'Parameter Values'!$A$78:$E$107,5,FALSE),'Parameter Values'!E$107)</f>
        <v>366</v>
      </c>
      <c r="S54" s="19">
        <f t="shared" si="6"/>
        <v>0</v>
      </c>
      <c r="T54" s="18">
        <f t="shared" si="7"/>
        <v>0</v>
      </c>
      <c r="W54" s="13"/>
      <c r="X54"/>
      <c r="Y54"/>
      <c r="Z54">
        <v>2042</v>
      </c>
      <c r="AA54" s="180">
        <f t="shared" si="9"/>
        <v>15186.552320757433</v>
      </c>
      <c r="AB54" s="180">
        <f t="shared" si="10"/>
        <v>19682.067494024952</v>
      </c>
      <c r="AC54" s="180"/>
      <c r="AD54" s="180">
        <f t="shared" si="12"/>
        <v>265463.66938008484</v>
      </c>
      <c r="AE54" s="180">
        <f t="shared" si="13"/>
        <v>135611.59721015763</v>
      </c>
      <c r="AF54" s="180">
        <f t="shared" si="11"/>
        <v>129852.07216992721</v>
      </c>
      <c r="AG54" s="214">
        <v>0.16</v>
      </c>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s="14"/>
    </row>
    <row r="55" spans="1:74" x14ac:dyDescent="0.25">
      <c r="A55" s="1" t="str">
        <f>IF(A54&lt;'Project Information'!B$11,A54+1,"")</f>
        <v/>
      </c>
      <c r="B55" s="136">
        <v>0</v>
      </c>
      <c r="C55" s="136">
        <v>0</v>
      </c>
      <c r="D55" s="136">
        <v>0</v>
      </c>
      <c r="E55" s="137">
        <v>0</v>
      </c>
      <c r="F55" s="1"/>
      <c r="G55" s="27">
        <v>0</v>
      </c>
      <c r="H55" s="27">
        <v>0</v>
      </c>
      <c r="I55" s="27">
        <v>0</v>
      </c>
      <c r="J55" s="27">
        <v>0</v>
      </c>
      <c r="K55" s="205"/>
      <c r="L55" s="205"/>
      <c r="M55" s="27"/>
      <c r="N55" s="27"/>
      <c r="O55" s="19">
        <f>IFERROR(VLOOKUP($A55,'Parameter Values'!$A$78:$E$107,2,FALSE),'Parameter Values'!B$107)</f>
        <v>22900</v>
      </c>
      <c r="P55" s="19">
        <f>IFERROR(VLOOKUP($A55,'Parameter Values'!$A$78:$E$107,3,FALSE),'Parameter Values'!C$107)</f>
        <v>63700</v>
      </c>
      <c r="Q55" s="19">
        <f>IFERROR(VLOOKUP($A55,'Parameter Values'!$A$78:$E$107,4,FALSE),'Parameter Values'!D$107)</f>
        <v>1108000</v>
      </c>
      <c r="R55" s="19">
        <f>IFERROR(VLOOKUP($A55,'Parameter Values'!$A$78:$E$107,5,FALSE),'Parameter Values'!E$107)</f>
        <v>366</v>
      </c>
      <c r="S55" s="19">
        <f t="shared" si="6"/>
        <v>0</v>
      </c>
      <c r="T55" s="18">
        <f t="shared" si="7"/>
        <v>0</v>
      </c>
      <c r="W55" s="13"/>
      <c r="X55"/>
      <c r="Y55"/>
      <c r="Z55">
        <v>2043</v>
      </c>
      <c r="AA55" s="180">
        <f t="shared" si="9"/>
        <v>15276.30484497311</v>
      </c>
      <c r="AB55" s="180">
        <f t="shared" si="10"/>
        <v>20070.434049817053</v>
      </c>
      <c r="AC55" s="180"/>
      <c r="AD55" s="180">
        <f t="shared" si="12"/>
        <v>272955.88958597789</v>
      </c>
      <c r="AE55" s="180">
        <f t="shared" si="13"/>
        <v>133332.79709428843</v>
      </c>
      <c r="AF55" s="180">
        <f t="shared" si="11"/>
        <v>139623.09249168946</v>
      </c>
      <c r="AG55" s="214">
        <v>0.17</v>
      </c>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s="14"/>
    </row>
    <row r="56" spans="1:74" x14ac:dyDescent="0.25">
      <c r="A56" s="1" t="str">
        <f>IF(A55&lt;'Project Information'!B$11,A55+1,"")</f>
        <v/>
      </c>
      <c r="B56" s="136">
        <v>0</v>
      </c>
      <c r="C56" s="136">
        <v>0</v>
      </c>
      <c r="D56" s="136">
        <v>0</v>
      </c>
      <c r="E56" s="137">
        <v>0</v>
      </c>
      <c r="F56" s="1"/>
      <c r="G56" s="27">
        <v>0</v>
      </c>
      <c r="H56" s="27">
        <v>0</v>
      </c>
      <c r="I56" s="27">
        <v>0</v>
      </c>
      <c r="J56" s="27">
        <v>0</v>
      </c>
      <c r="K56" s="205"/>
      <c r="L56" s="205"/>
      <c r="M56" s="27"/>
      <c r="N56" s="27"/>
      <c r="O56" s="19">
        <f>IFERROR(VLOOKUP($A56,'Parameter Values'!$A$78:$E$107,2,FALSE),'Parameter Values'!B$107)</f>
        <v>22900</v>
      </c>
      <c r="P56" s="19">
        <f>IFERROR(VLOOKUP($A56,'Parameter Values'!$A$78:$E$107,3,FALSE),'Parameter Values'!C$107)</f>
        <v>63700</v>
      </c>
      <c r="Q56" s="19">
        <f>IFERROR(VLOOKUP($A56,'Parameter Values'!$A$78:$E$107,4,FALSE),'Parameter Values'!D$107)</f>
        <v>1108000</v>
      </c>
      <c r="R56" s="19">
        <f>IFERROR(VLOOKUP($A56,'Parameter Values'!$A$78:$E$107,5,FALSE),'Parameter Values'!E$107)</f>
        <v>366</v>
      </c>
      <c r="S56" s="19">
        <f t="shared" si="6"/>
        <v>0</v>
      </c>
      <c r="T56" s="18">
        <f t="shared" si="7"/>
        <v>0</v>
      </c>
      <c r="W56" s="13"/>
      <c r="X56"/>
      <c r="Y56"/>
      <c r="Z56">
        <v>2044</v>
      </c>
      <c r="AA56" s="180">
        <f t="shared" si="9"/>
        <v>15366.587806606904</v>
      </c>
      <c r="AB56" s="180">
        <f t="shared" si="10"/>
        <v>20466.463854488044</v>
      </c>
      <c r="AC56" s="180"/>
      <c r="AD56" s="180">
        <f t="shared" si="12"/>
        <v>280659.56382527848</v>
      </c>
      <c r="AE56" s="180">
        <f t="shared" si="13"/>
        <v>131092.28964715046</v>
      </c>
      <c r="AF56" s="180">
        <f t="shared" si="11"/>
        <v>149567.27417812802</v>
      </c>
      <c r="AG56" s="214">
        <v>0.18</v>
      </c>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s="14"/>
    </row>
    <row r="57" spans="1:74" x14ac:dyDescent="0.25">
      <c r="A57" s="1" t="str">
        <f>IF(A56&lt;'Project Information'!B$11,A56+1,"")</f>
        <v/>
      </c>
      <c r="B57" s="136">
        <v>0</v>
      </c>
      <c r="C57" s="136">
        <v>0</v>
      </c>
      <c r="D57" s="136">
        <v>0</v>
      </c>
      <c r="E57" s="137">
        <v>0</v>
      </c>
      <c r="F57" s="1"/>
      <c r="G57" s="27">
        <v>0</v>
      </c>
      <c r="H57" s="27">
        <v>0</v>
      </c>
      <c r="I57" s="27">
        <v>0</v>
      </c>
      <c r="J57" s="27">
        <v>0</v>
      </c>
      <c r="K57" s="27">
        <v>0</v>
      </c>
      <c r="L57" s="27">
        <v>0</v>
      </c>
      <c r="M57" s="27">
        <v>0</v>
      </c>
      <c r="N57" s="27">
        <v>0</v>
      </c>
      <c r="O57" s="19">
        <f>IFERROR(VLOOKUP($A57,'Parameter Values'!$A$78:$E$107,2,FALSE),'Parameter Values'!B$107)</f>
        <v>22900</v>
      </c>
      <c r="P57" s="19">
        <f>IFERROR(VLOOKUP($A57,'Parameter Values'!$A$78:$E$107,3,FALSE),'Parameter Values'!C$107)</f>
        <v>63700</v>
      </c>
      <c r="Q57" s="19">
        <f>IFERROR(VLOOKUP($A57,'Parameter Values'!$A$78:$E$107,4,FALSE),'Parameter Values'!D$107)</f>
        <v>1108000</v>
      </c>
      <c r="R57" s="19">
        <f>IFERROR(VLOOKUP($A57,'Parameter Values'!$A$78:$E$107,5,FALSE),'Parameter Values'!E$107)</f>
        <v>366</v>
      </c>
      <c r="S57" s="19">
        <f t="shared" si="6"/>
        <v>0</v>
      </c>
      <c r="T57" s="18">
        <f t="shared" si="7"/>
        <v>0</v>
      </c>
      <c r="W57" s="13"/>
      <c r="X57"/>
      <c r="Y57"/>
      <c r="Z57">
        <v>2045</v>
      </c>
      <c r="AA57" s="180">
        <f t="shared" si="9"/>
        <v>15457.404340543952</v>
      </c>
      <c r="AB57" s="180">
        <f t="shared" si="10"/>
        <v>20870.308119264802</v>
      </c>
      <c r="AC57" s="180"/>
      <c r="AD57" s="180">
        <f t="shared" si="12"/>
        <v>288580.6599962886</v>
      </c>
      <c r="AE57" s="180">
        <f t="shared" si="13"/>
        <v>128889.43140358491</v>
      </c>
      <c r="AF57" s="180">
        <f t="shared" si="11"/>
        <v>159691.2285927037</v>
      </c>
      <c r="AG57" s="214">
        <v>0.19</v>
      </c>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s="14"/>
    </row>
    <row r="58" spans="1:74" x14ac:dyDescent="0.25">
      <c r="A58" s="1" t="str">
        <f>IF(A57&lt;'Project Information'!B$11,A57+1,"")</f>
        <v/>
      </c>
      <c r="B58" s="136">
        <v>0</v>
      </c>
      <c r="C58" s="136">
        <v>0</v>
      </c>
      <c r="D58" s="136">
        <v>0</v>
      </c>
      <c r="E58" s="137">
        <v>0</v>
      </c>
      <c r="F58" s="1"/>
      <c r="G58" s="27">
        <v>0</v>
      </c>
      <c r="H58" s="27">
        <v>0</v>
      </c>
      <c r="I58" s="27">
        <v>0</v>
      </c>
      <c r="J58" s="27">
        <v>0</v>
      </c>
      <c r="K58" s="27">
        <v>0</v>
      </c>
      <c r="L58" s="27">
        <v>0</v>
      </c>
      <c r="M58" s="27">
        <v>0</v>
      </c>
      <c r="N58" s="27">
        <v>0</v>
      </c>
      <c r="O58" s="19">
        <f>IFERROR(VLOOKUP($A58,'Parameter Values'!$A$78:$E$107,2,FALSE),'Parameter Values'!B$107)</f>
        <v>22900</v>
      </c>
      <c r="P58" s="19">
        <f>IFERROR(VLOOKUP($A58,'Parameter Values'!$A$78:$E$107,3,FALSE),'Parameter Values'!C$107)</f>
        <v>63700</v>
      </c>
      <c r="Q58" s="19">
        <f>IFERROR(VLOOKUP($A58,'Parameter Values'!$A$78:$E$107,4,FALSE),'Parameter Values'!D$107)</f>
        <v>1108000</v>
      </c>
      <c r="R58" s="19">
        <f>IFERROR(VLOOKUP($A58,'Parameter Values'!$A$78:$E$107,5,FALSE),'Parameter Values'!E$107)</f>
        <v>366</v>
      </c>
      <c r="S58" s="19">
        <f t="shared" si="6"/>
        <v>0</v>
      </c>
      <c r="T58" s="18">
        <f t="shared" si="7"/>
        <v>0</v>
      </c>
      <c r="W58" s="13"/>
      <c r="X58"/>
      <c r="Y58"/>
      <c r="Z58">
        <v>2046</v>
      </c>
      <c r="AA58" s="180">
        <f t="shared" si="9"/>
        <v>15548.757600196568</v>
      </c>
      <c r="AB58" s="180">
        <f t="shared" si="10"/>
        <v>21282.121039074136</v>
      </c>
      <c r="AC58" s="180"/>
      <c r="AD58" s="180">
        <f t="shared" si="12"/>
        <v>296725.3144301821</v>
      </c>
      <c r="AE58" s="180">
        <f t="shared" si="13"/>
        <v>126723.58971113998</v>
      </c>
      <c r="AF58" s="180">
        <f t="shared" si="11"/>
        <v>170001.72471904213</v>
      </c>
      <c r="AG58" s="214">
        <v>0.2</v>
      </c>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s="14"/>
    </row>
    <row r="59" spans="1:74" x14ac:dyDescent="0.25">
      <c r="A59" s="1" t="str">
        <f>IF(A58&lt;'Project Information'!B$11,A58+1,"")</f>
        <v/>
      </c>
      <c r="B59" s="136">
        <v>0</v>
      </c>
      <c r="C59" s="136">
        <v>0</v>
      </c>
      <c r="D59" s="136">
        <v>0</v>
      </c>
      <c r="E59" s="137">
        <v>0</v>
      </c>
      <c r="F59" s="1"/>
      <c r="G59" s="27">
        <v>0</v>
      </c>
      <c r="H59" s="27">
        <v>0</v>
      </c>
      <c r="I59" s="27">
        <v>0</v>
      </c>
      <c r="J59" s="27">
        <v>0</v>
      </c>
      <c r="K59" s="27">
        <v>0</v>
      </c>
      <c r="L59" s="27">
        <v>0</v>
      </c>
      <c r="M59" s="27">
        <v>0</v>
      </c>
      <c r="N59" s="27">
        <v>0</v>
      </c>
      <c r="O59" s="19">
        <f>IFERROR(VLOOKUP($A59,'Parameter Values'!$A$78:$E$107,2,FALSE),'Parameter Values'!B$107)</f>
        <v>22900</v>
      </c>
      <c r="P59" s="19">
        <f>IFERROR(VLOOKUP($A59,'Parameter Values'!$A$78:$E$107,3,FALSE),'Parameter Values'!C$107)</f>
        <v>63700</v>
      </c>
      <c r="Q59" s="19">
        <f>IFERROR(VLOOKUP($A59,'Parameter Values'!$A$78:$E$107,4,FALSE),'Parameter Values'!D$107)</f>
        <v>1108000</v>
      </c>
      <c r="R59" s="19">
        <f>IFERROR(VLOOKUP($A59,'Parameter Values'!$A$78:$E$107,5,FALSE),'Parameter Values'!E$107)</f>
        <v>366</v>
      </c>
      <c r="S59" s="19">
        <f t="shared" si="6"/>
        <v>0</v>
      </c>
      <c r="T59" s="18">
        <f t="shared" si="7"/>
        <v>0</v>
      </c>
      <c r="W59" s="13"/>
      <c r="X59"/>
      <c r="Y59"/>
      <c r="Z59">
        <v>2047</v>
      </c>
      <c r="AA59" s="180">
        <f t="shared" si="9"/>
        <v>15640.650757613732</v>
      </c>
      <c r="AB59" s="180">
        <f t="shared" si="10"/>
        <v>21702.059851417151</v>
      </c>
      <c r="AC59" s="180"/>
      <c r="AD59" s="180">
        <f t="shared" si="12"/>
        <v>305099.83664471062</v>
      </c>
      <c r="AE59" s="180">
        <f t="shared" si="13"/>
        <v>124594.14254837566</v>
      </c>
      <c r="AF59" s="180">
        <f t="shared" si="11"/>
        <v>180505.69409633498</v>
      </c>
      <c r="AG59" s="214">
        <v>0.2</v>
      </c>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s="14"/>
    </row>
    <row r="60" spans="1:74" x14ac:dyDescent="0.25">
      <c r="A60" s="1" t="str">
        <f>IF(A59&lt;'Project Information'!B$11,A59+1,"")</f>
        <v/>
      </c>
      <c r="B60" s="136">
        <v>0</v>
      </c>
      <c r="C60" s="136">
        <v>0</v>
      </c>
      <c r="D60" s="136">
        <v>0</v>
      </c>
      <c r="E60" s="137">
        <v>0</v>
      </c>
      <c r="F60" s="1"/>
      <c r="G60" s="27">
        <v>0</v>
      </c>
      <c r="H60" s="27">
        <v>0</v>
      </c>
      <c r="I60" s="27">
        <v>0</v>
      </c>
      <c r="J60" s="27">
        <v>0</v>
      </c>
      <c r="K60" s="27">
        <v>0</v>
      </c>
      <c r="L60" s="27">
        <v>0</v>
      </c>
      <c r="M60" s="27">
        <v>0</v>
      </c>
      <c r="N60" s="27">
        <v>0</v>
      </c>
      <c r="O60" s="19">
        <f>IFERROR(VLOOKUP($A60,'Parameter Values'!$A$78:$E$107,2,FALSE),'Parameter Values'!B$107)</f>
        <v>22900</v>
      </c>
      <c r="P60" s="19">
        <f>IFERROR(VLOOKUP($A60,'Parameter Values'!$A$78:$E$107,3,FALSE),'Parameter Values'!C$107)</f>
        <v>63700</v>
      </c>
      <c r="Q60" s="19">
        <f>IFERROR(VLOOKUP($A60,'Parameter Values'!$A$78:$E$107,4,FALSE),'Parameter Values'!D$107)</f>
        <v>1108000</v>
      </c>
      <c r="R60" s="19">
        <f>IFERROR(VLOOKUP($A60,'Parameter Values'!$A$78:$E$107,5,FALSE),'Parameter Values'!E$107)</f>
        <v>366</v>
      </c>
      <c r="S60" s="19">
        <f t="shared" si="6"/>
        <v>0</v>
      </c>
      <c r="T60" s="18">
        <f t="shared" si="7"/>
        <v>0</v>
      </c>
      <c r="W60" s="13"/>
      <c r="X60"/>
      <c r="Y60"/>
      <c r="Z60">
        <v>2048</v>
      </c>
      <c r="AA60" s="180">
        <f t="shared" si="9"/>
        <v>15733.08700359123</v>
      </c>
      <c r="AB60" s="180">
        <f t="shared" si="10"/>
        <v>22130.284896405316</v>
      </c>
      <c r="AC60" s="180"/>
      <c r="AD60" s="180">
        <f t="shared" si="12"/>
        <v>313710.71423207381</v>
      </c>
      <c r="AE60" s="180">
        <f t="shared" si="13"/>
        <v>122500.47834622144</v>
      </c>
      <c r="AF60" s="180">
        <f t="shared" si="11"/>
        <v>191210.23588585237</v>
      </c>
      <c r="AG60" s="214">
        <v>0.2</v>
      </c>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s="14"/>
    </row>
    <row r="61" spans="1:74" x14ac:dyDescent="0.25">
      <c r="A61" s="1" t="str">
        <f>IF(A60&lt;'Project Information'!B$11,A60+1,"")</f>
        <v/>
      </c>
      <c r="B61" s="136">
        <v>0</v>
      </c>
      <c r="C61" s="136">
        <v>0</v>
      </c>
      <c r="D61" s="136">
        <v>0</v>
      </c>
      <c r="E61" s="137">
        <v>0</v>
      </c>
      <c r="F61" s="1"/>
      <c r="G61" s="27">
        <v>0</v>
      </c>
      <c r="H61" s="27">
        <v>0</v>
      </c>
      <c r="I61" s="27">
        <v>0</v>
      </c>
      <c r="J61" s="27">
        <v>0</v>
      </c>
      <c r="K61" s="27">
        <v>0</v>
      </c>
      <c r="L61" s="27">
        <v>0</v>
      </c>
      <c r="M61" s="27">
        <v>0</v>
      </c>
      <c r="N61" s="27">
        <v>0</v>
      </c>
      <c r="O61" s="19">
        <f>IFERROR(VLOOKUP($A61,'Parameter Values'!$A$78:$E$107,2,FALSE),'Parameter Values'!B$107)</f>
        <v>22900</v>
      </c>
      <c r="P61" s="19">
        <f>IFERROR(VLOOKUP($A61,'Parameter Values'!$A$78:$E$107,3,FALSE),'Parameter Values'!C$107)</f>
        <v>63700</v>
      </c>
      <c r="Q61" s="19">
        <f>IFERROR(VLOOKUP($A61,'Parameter Values'!$A$78:$E$107,4,FALSE),'Parameter Values'!D$107)</f>
        <v>1108000</v>
      </c>
      <c r="R61" s="19">
        <f>IFERROR(VLOOKUP($A61,'Parameter Values'!$A$78:$E$107,5,FALSE),'Parameter Values'!E$107)</f>
        <v>366</v>
      </c>
      <c r="S61" s="19">
        <f t="shared" si="6"/>
        <v>0</v>
      </c>
      <c r="T61" s="18">
        <f t="shared" si="7"/>
        <v>0</v>
      </c>
      <c r="W61" s="13"/>
      <c r="X61"/>
      <c r="Y61"/>
      <c r="Z61">
        <v>2049</v>
      </c>
      <c r="AA61" s="180">
        <f t="shared" si="9"/>
        <v>15826.069547782456</v>
      </c>
      <c r="AB61" s="180">
        <f t="shared" si="10"/>
        <v>22566.959677981187</v>
      </c>
      <c r="AC61" s="180"/>
      <c r="AD61" s="180">
        <f t="shared" si="12"/>
        <v>322564.61788474064</v>
      </c>
      <c r="AE61" s="180">
        <f t="shared" si="13"/>
        <v>120441.9958123361</v>
      </c>
      <c r="AF61" s="180">
        <f t="shared" si="11"/>
        <v>202122.62207240454</v>
      </c>
      <c r="AG61" s="214">
        <v>0.2</v>
      </c>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s="14"/>
    </row>
    <row r="62" spans="1:74" x14ac:dyDescent="0.25">
      <c r="A62" s="1" t="str">
        <f>IF(A61&lt;'Project Information'!B$11,A61+1,"")</f>
        <v/>
      </c>
      <c r="B62" s="138">
        <v>0</v>
      </c>
      <c r="C62" s="138">
        <v>0</v>
      </c>
      <c r="D62" s="138">
        <v>0</v>
      </c>
      <c r="E62" s="139">
        <v>0</v>
      </c>
      <c r="F62" s="2"/>
      <c r="G62" s="34">
        <v>0</v>
      </c>
      <c r="H62" s="34">
        <v>0</v>
      </c>
      <c r="I62" s="34">
        <v>0</v>
      </c>
      <c r="J62" s="34">
        <v>0</v>
      </c>
      <c r="K62" s="34">
        <v>0</v>
      </c>
      <c r="L62" s="34">
        <v>0</v>
      </c>
      <c r="M62" s="34">
        <v>0</v>
      </c>
      <c r="N62" s="23">
        <v>0</v>
      </c>
      <c r="O62" s="20">
        <f>IFERROR(VLOOKUP($A62,'Parameter Values'!$A$78:$E$107,2,FALSE),'Parameter Values'!B$107)</f>
        <v>22900</v>
      </c>
      <c r="P62" s="20">
        <f>IFERROR(VLOOKUP($A62,'Parameter Values'!$A$78:$E$107,3,FALSE),'Parameter Values'!C$107)</f>
        <v>63700</v>
      </c>
      <c r="Q62" s="20">
        <f>IFERROR(VLOOKUP($A62,'Parameter Values'!$A$78:$E$107,4,FALSE),'Parameter Values'!D$107)</f>
        <v>1108000</v>
      </c>
      <c r="R62" s="20">
        <f>IFERROR(VLOOKUP($A62,'Parameter Values'!$A$78:$E$107,5,FALSE),'Parameter Values'!E$107)</f>
        <v>366</v>
      </c>
      <c r="S62" s="19">
        <f t="shared" si="6"/>
        <v>0</v>
      </c>
      <c r="T62" s="18">
        <f t="shared" si="7"/>
        <v>0</v>
      </c>
      <c r="W62" s="13"/>
      <c r="X62"/>
      <c r="Y62"/>
      <c r="Z62">
        <v>2050</v>
      </c>
      <c r="AA62" s="180">
        <f t="shared" si="9"/>
        <v>15919.601618809851</v>
      </c>
      <c r="AB62" s="180">
        <f t="shared" si="10"/>
        <v>23012.250926347115</v>
      </c>
      <c r="AC62" s="180"/>
      <c r="AD62" s="180">
        <f t="shared" si="12"/>
        <v>331668.40656311536</v>
      </c>
      <c r="AE62" s="180">
        <f t="shared" si="13"/>
        <v>118418.1037584188</v>
      </c>
      <c r="AF62" s="180">
        <f t="shared" si="11"/>
        <v>213250.30280469655</v>
      </c>
      <c r="AG62" s="214">
        <v>0.2</v>
      </c>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s="14"/>
    </row>
    <row r="63" spans="1:74" x14ac:dyDescent="0.25">
      <c r="W63" s="13"/>
      <c r="X63"/>
      <c r="Y63"/>
      <c r="Z63"/>
      <c r="AA63" s="180"/>
      <c r="AB63" s="180"/>
      <c r="AC63" s="180"/>
      <c r="AD63"/>
      <c r="AE63"/>
      <c r="AF63" s="180"/>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s="14"/>
    </row>
    <row r="64" spans="1:74" x14ac:dyDescent="0.25">
      <c r="W64" s="13"/>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s="14"/>
    </row>
    <row r="65" spans="23:74" x14ac:dyDescent="0.25">
      <c r="W65" s="13"/>
      <c r="X65" s="176" t="s">
        <v>382</v>
      </c>
      <c r="Y65"/>
      <c r="Z65" s="182" t="s">
        <v>382</v>
      </c>
      <c r="AA65"/>
      <c r="AB65"/>
      <c r="AC65" t="s">
        <v>360</v>
      </c>
      <c r="AD65" t="s">
        <v>192</v>
      </c>
      <c r="AE65" t="s">
        <v>361</v>
      </c>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s="14"/>
    </row>
    <row r="66" spans="23:74" x14ac:dyDescent="0.25">
      <c r="W66" s="13" t="s">
        <v>362</v>
      </c>
      <c r="X66" s="183">
        <v>8060</v>
      </c>
      <c r="Y66"/>
      <c r="Z66" t="s">
        <v>4</v>
      </c>
      <c r="AA66" t="s">
        <v>192</v>
      </c>
      <c r="AB66" t="s">
        <v>361</v>
      </c>
      <c r="AC66" t="s">
        <v>383</v>
      </c>
      <c r="AD66" t="s">
        <v>365</v>
      </c>
      <c r="AE66" t="s">
        <v>383</v>
      </c>
      <c r="AF66" t="s">
        <v>367</v>
      </c>
      <c r="AG66" s="207" t="s">
        <v>485</v>
      </c>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s="14"/>
    </row>
    <row r="67" spans="23:74" x14ac:dyDescent="0.25">
      <c r="W67" s="13" t="s">
        <v>369</v>
      </c>
      <c r="X67" s="183">
        <v>14666.115081117161</v>
      </c>
      <c r="Y67"/>
      <c r="Z67">
        <v>2023</v>
      </c>
      <c r="AA67" s="183">
        <v>8060</v>
      </c>
      <c r="AB67" s="183">
        <v>8060</v>
      </c>
      <c r="AC67" s="179">
        <f>($X$71*AA67*365)/3600</f>
        <v>70948.821666666656</v>
      </c>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s="14"/>
    </row>
    <row r="68" spans="23:74" x14ac:dyDescent="0.25">
      <c r="W68" s="13" t="s">
        <v>370</v>
      </c>
      <c r="X68" s="183">
        <v>19515.79169380563</v>
      </c>
      <c r="Y68"/>
      <c r="Z68">
        <v>2024</v>
      </c>
      <c r="AA68" s="180">
        <f>AA67*(1+$X$69)</f>
        <v>8240.7132600000004</v>
      </c>
      <c r="AB68" s="180">
        <f>AB67*(1+$X$70)</f>
        <v>8328.3577000000005</v>
      </c>
      <c r="AC68" s="179">
        <f>($X$71*AA68*365)/3600</f>
        <v>72539.565197254997</v>
      </c>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s="14"/>
    </row>
    <row r="69" spans="23:74" x14ac:dyDescent="0.25">
      <c r="W69" s="13" t="s">
        <v>371</v>
      </c>
      <c r="X69" s="184">
        <v>2.2421E-2</v>
      </c>
      <c r="Y69"/>
      <c r="Z69">
        <v>2025</v>
      </c>
      <c r="AA69" s="180">
        <f t="shared" ref="AA69:AA94" si="14">AA68*(1+$X$69)</f>
        <v>8425.4782920024609</v>
      </c>
      <c r="AB69" s="180">
        <f t="shared" ref="AB69:AB94" si="15">AB68*(1+$X$70)</f>
        <v>8605.6503696215004</v>
      </c>
      <c r="AC69" s="179">
        <f t="shared" ref="AC69:AC71" si="16">($X$71*AA69*365)/3600</f>
        <v>74165.974788542648</v>
      </c>
      <c r="AD69" s="181"/>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s="14"/>
    </row>
    <row r="70" spans="23:74" x14ac:dyDescent="0.25">
      <c r="W70" s="13" t="s">
        <v>372</v>
      </c>
      <c r="X70" s="184">
        <v>3.3294999999999998E-2</v>
      </c>
      <c r="Y70"/>
      <c r="Z70">
        <v>2026</v>
      </c>
      <c r="AA70" s="180">
        <f t="shared" si="14"/>
        <v>8614.3859407874479</v>
      </c>
      <c r="AB70" s="180">
        <f t="shared" si="15"/>
        <v>8892.1754986780488</v>
      </c>
      <c r="AC70" s="179">
        <f t="shared" si="16"/>
        <v>75828.85010927658</v>
      </c>
      <c r="AD70" s="181"/>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s="14"/>
    </row>
    <row r="71" spans="23:74" x14ac:dyDescent="0.25">
      <c r="W71" s="13" t="s">
        <v>373</v>
      </c>
      <c r="X71">
        <v>86.82</v>
      </c>
      <c r="Y71"/>
      <c r="Z71">
        <v>2027</v>
      </c>
      <c r="AA71" s="180">
        <f t="shared" si="14"/>
        <v>8807.5290879658442</v>
      </c>
      <c r="AB71" s="180">
        <f t="shared" si="15"/>
        <v>9188.2404819065359</v>
      </c>
      <c r="AC71" s="179">
        <f t="shared" si="16"/>
        <v>77529.008757576667</v>
      </c>
      <c r="AD71" s="180"/>
      <c r="AE71" s="180"/>
      <c r="AF71" s="180"/>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s="14"/>
    </row>
    <row r="72" spans="23:74" x14ac:dyDescent="0.25">
      <c r="W72" s="13" t="s">
        <v>374</v>
      </c>
      <c r="X72">
        <v>171.9</v>
      </c>
      <c r="Y72"/>
      <c r="Z72">
        <v>2028</v>
      </c>
      <c r="AA72" s="180">
        <f t="shared" si="14"/>
        <v>9005.0026976471272</v>
      </c>
      <c r="AB72" s="180">
        <f t="shared" si="15"/>
        <v>9494.1629487516147</v>
      </c>
      <c r="AC72" s="180"/>
      <c r="AD72" s="180">
        <f>AC71*(1+$X$78)</f>
        <v>80982.427568227038</v>
      </c>
      <c r="AE72" s="180">
        <f>AC71*(1+$X$79)</f>
        <v>77367.459546641214</v>
      </c>
      <c r="AF72" s="180">
        <f>AD72-AE72</f>
        <v>3614.9680215858243</v>
      </c>
      <c r="AG72" s="214">
        <v>0.02</v>
      </c>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s="14"/>
    </row>
    <row r="73" spans="23:74" x14ac:dyDescent="0.25">
      <c r="W73" s="13" t="s">
        <v>375</v>
      </c>
      <c r="X73">
        <v>82.84</v>
      </c>
      <c r="Y73"/>
      <c r="Z73">
        <v>2029</v>
      </c>
      <c r="AA73" s="180">
        <f t="shared" si="14"/>
        <v>9206.9038631310741</v>
      </c>
      <c r="AB73" s="180">
        <f t="shared" si="15"/>
        <v>9810.271104130301</v>
      </c>
      <c r="AC73" s="180"/>
      <c r="AD73" s="180">
        <f>AD72*(1+$X$78)</f>
        <v>84589.673980608335</v>
      </c>
      <c r="AE73" s="180">
        <f>AD72*(1+$X$79)</f>
        <v>80813.682378743295</v>
      </c>
      <c r="AF73" s="180">
        <f t="shared" ref="AF73:AF94" si="17">AD73-AE73</f>
        <v>3775.9916018650401</v>
      </c>
      <c r="AG73" s="214">
        <v>0.03</v>
      </c>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s="14"/>
    </row>
    <row r="74" spans="23:74" x14ac:dyDescent="0.25">
      <c r="W74" s="13" t="s">
        <v>376</v>
      </c>
      <c r="X74">
        <v>0.14851116625310173</v>
      </c>
      <c r="Y74"/>
      <c r="Z74">
        <v>2030</v>
      </c>
      <c r="AA74" s="180">
        <f t="shared" si="14"/>
        <v>9413.3318546463361</v>
      </c>
      <c r="AB74" s="180">
        <f t="shared" si="15"/>
        <v>10136.904080542319</v>
      </c>
      <c r="AC74" s="180"/>
      <c r="AD74" s="180">
        <f t="shared" ref="AD74:AD94" si="18">AD73*(1+$X$78)</f>
        <v>88357.600025230524</v>
      </c>
      <c r="AE74" s="180">
        <f t="shared" ref="AE74:AE94" si="19">AD73*(1+$X$79)</f>
        <v>84413.412278003772</v>
      </c>
      <c r="AF74" s="180">
        <f t="shared" si="17"/>
        <v>3944.1877472267515</v>
      </c>
      <c r="AG74" s="214">
        <v>0.04</v>
      </c>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s="14"/>
    </row>
    <row r="75" spans="23:74" x14ac:dyDescent="0.25">
      <c r="W75" s="13" t="s">
        <v>377</v>
      </c>
      <c r="X75">
        <v>1.1166253101736972E-2</v>
      </c>
      <c r="Y75"/>
      <c r="Z75">
        <v>2031</v>
      </c>
      <c r="AA75" s="180">
        <f t="shared" si="14"/>
        <v>9624.3881681593612</v>
      </c>
      <c r="AB75" s="180">
        <f t="shared" si="15"/>
        <v>10474.412301903976</v>
      </c>
      <c r="AC75" s="180"/>
      <c r="AD75" s="180">
        <f t="shared" si="18"/>
        <v>92293.362946502646</v>
      </c>
      <c r="AE75" s="180">
        <f t="shared" si="19"/>
        <v>88173.486997178537</v>
      </c>
      <c r="AF75" s="180">
        <f t="shared" si="17"/>
        <v>4119.8759493241087</v>
      </c>
      <c r="AG75" s="214">
        <v>0.05</v>
      </c>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s="14"/>
    </row>
    <row r="76" spans="23:74" x14ac:dyDescent="0.25">
      <c r="W76" s="13" t="s">
        <v>378</v>
      </c>
      <c r="X76">
        <v>0.82307692307692304</v>
      </c>
      <c r="Y76"/>
      <c r="Z76">
        <v>2032</v>
      </c>
      <c r="AA76" s="180">
        <f t="shared" si="14"/>
        <v>9840.1765752776628</v>
      </c>
      <c r="AB76" s="180">
        <f t="shared" si="15"/>
        <v>10823.15785949587</v>
      </c>
      <c r="AC76" s="180"/>
      <c r="AD76" s="180">
        <f t="shared" si="18"/>
        <v>96404.43879804945</v>
      </c>
      <c r="AE76" s="180">
        <f t="shared" si="19"/>
        <v>92101.0488669404</v>
      </c>
      <c r="AF76" s="180">
        <f t="shared" si="17"/>
        <v>4303.3899311090499</v>
      </c>
      <c r="AG76" s="214">
        <v>0.06</v>
      </c>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s="14"/>
    </row>
    <row r="77" spans="23:74" x14ac:dyDescent="0.25">
      <c r="W77" s="13" t="s">
        <v>379</v>
      </c>
      <c r="X77">
        <v>1.52</v>
      </c>
      <c r="Y77"/>
      <c r="Z77">
        <v>2033</v>
      </c>
      <c r="AA77" s="180">
        <f t="shared" si="14"/>
        <v>10060.803174271963</v>
      </c>
      <c r="AB77" s="180">
        <f t="shared" si="15"/>
        <v>11183.514900427786</v>
      </c>
      <c r="AC77" s="180"/>
      <c r="AD77" s="180">
        <f t="shared" si="18"/>
        <v>100698.63664361187</v>
      </c>
      <c r="AE77" s="180">
        <f t="shared" si="19"/>
        <v>96203.558362866825</v>
      </c>
      <c r="AF77" s="180">
        <f t="shared" si="17"/>
        <v>4495.078280745045</v>
      </c>
      <c r="AG77" s="214">
        <v>7.0000000000000007E-2</v>
      </c>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s="14"/>
    </row>
    <row r="78" spans="23:74" x14ac:dyDescent="0.25">
      <c r="W78" s="13" t="s">
        <v>380</v>
      </c>
      <c r="X78">
        <f>((X72-X71)/X71)/22</f>
        <v>4.4543569768172406E-2</v>
      </c>
      <c r="Y78"/>
      <c r="Z78">
        <v>2034</v>
      </c>
      <c r="AA78" s="180">
        <f t="shared" si="14"/>
        <v>10286.376442242316</v>
      </c>
      <c r="AB78" s="180">
        <f t="shared" si="15"/>
        <v>11555.870029037531</v>
      </c>
      <c r="AC78" s="180"/>
      <c r="AD78" s="180">
        <f t="shared" si="18"/>
        <v>105184.11339050643</v>
      </c>
      <c r="AE78" s="180">
        <f t="shared" si="19"/>
        <v>100488.80827674962</v>
      </c>
      <c r="AF78" s="180">
        <f t="shared" si="17"/>
        <v>4695.3051137568109</v>
      </c>
      <c r="AG78" s="214">
        <v>0.08</v>
      </c>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s="14"/>
    </row>
    <row r="79" spans="23:74" x14ac:dyDescent="0.25">
      <c r="W79" s="13" t="s">
        <v>381</v>
      </c>
      <c r="X79">
        <f>((X73-X71)/X71)/22</f>
        <v>-2.0837259952671094E-3</v>
      </c>
      <c r="Y79"/>
      <c r="Z79">
        <v>2035</v>
      </c>
      <c r="AA79" s="180">
        <f t="shared" si="14"/>
        <v>10517.007288453831</v>
      </c>
      <c r="AB79" s="180">
        <f t="shared" si="15"/>
        <v>11940.622721654336</v>
      </c>
      <c r="AC79" s="180"/>
      <c r="AD79" s="180">
        <f t="shared" si="18"/>
        <v>109869.38928381982</v>
      </c>
      <c r="AE79" s="180">
        <f t="shared" si="19"/>
        <v>104964.93851914552</v>
      </c>
      <c r="AF79" s="180">
        <f t="shared" si="17"/>
        <v>4904.4507646743004</v>
      </c>
      <c r="AG79" s="214">
        <v>0.09</v>
      </c>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s="14"/>
    </row>
    <row r="80" spans="23:74" x14ac:dyDescent="0.25">
      <c r="W80" s="13"/>
      <c r="X80"/>
      <c r="Y80"/>
      <c r="Z80">
        <v>2036</v>
      </c>
      <c r="AA80" s="180">
        <f t="shared" si="14"/>
        <v>10752.809108868254</v>
      </c>
      <c r="AB80" s="180">
        <f t="shared" si="15"/>
        <v>12338.185755171819</v>
      </c>
      <c r="AC80" s="180"/>
      <c r="AD80" s="180">
        <f t="shared" si="18"/>
        <v>114763.36409077015</v>
      </c>
      <c r="AE80" s="180">
        <f t="shared" si="19"/>
        <v>109640.45158128501</v>
      </c>
      <c r="AF80" s="180">
        <f t="shared" si="17"/>
        <v>5122.9125094851333</v>
      </c>
      <c r="AG80" s="214">
        <v>0.1</v>
      </c>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s="14"/>
    </row>
    <row r="81" spans="23:74" x14ac:dyDescent="0.25">
      <c r="W81" s="13"/>
      <c r="X81"/>
      <c r="Y81"/>
      <c r="Z81">
        <v>2037</v>
      </c>
      <c r="AA81" s="180">
        <f t="shared" si="14"/>
        <v>10993.89784189819</v>
      </c>
      <c r="AB81" s="180">
        <f t="shared" si="15"/>
        <v>12748.985649890265</v>
      </c>
      <c r="AC81" s="180"/>
      <c r="AD81" s="180">
        <f t="shared" si="18"/>
        <v>119875.33400597754</v>
      </c>
      <c r="AE81" s="180">
        <f t="shared" si="19"/>
        <v>114524.22868570991</v>
      </c>
      <c r="AF81" s="180">
        <f t="shared" si="17"/>
        <v>5351.1053202676267</v>
      </c>
      <c r="AG81" s="214">
        <v>0.11</v>
      </c>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s="14"/>
    </row>
    <row r="82" spans="23:74" x14ac:dyDescent="0.25">
      <c r="W82" s="13"/>
      <c r="X82"/>
      <c r="Y82"/>
      <c r="Z82">
        <v>2038</v>
      </c>
      <c r="AA82" s="180">
        <f t="shared" si="14"/>
        <v>11240.392025411389</v>
      </c>
      <c r="AB82" s="180">
        <f t="shared" si="15"/>
        <v>13173.463127103361</v>
      </c>
      <c r="AC82" s="180"/>
      <c r="AD82" s="180">
        <f t="shared" si="18"/>
        <v>125215.00930975577</v>
      </c>
      <c r="AE82" s="180">
        <f t="shared" si="19"/>
        <v>119625.54665631797</v>
      </c>
      <c r="AF82" s="180">
        <f t="shared" si="17"/>
        <v>5589.462653437804</v>
      </c>
      <c r="AG82" s="214">
        <v>0.12</v>
      </c>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s="14"/>
    </row>
    <row r="83" spans="23:74" x14ac:dyDescent="0.25">
      <c r="W83" s="13"/>
      <c r="X83"/>
      <c r="Y83"/>
      <c r="Z83">
        <v>2039</v>
      </c>
      <c r="AA83" s="180">
        <f t="shared" si="14"/>
        <v>11492.412855013137</v>
      </c>
      <c r="AB83" s="180">
        <f t="shared" si="15"/>
        <v>13612.073581920269</v>
      </c>
      <c r="AC83" s="180"/>
      <c r="AD83" s="180">
        <f t="shared" si="18"/>
        <v>130792.53281296724</v>
      </c>
      <c r="AE83" s="180">
        <f t="shared" si="19"/>
        <v>124954.09553985942</v>
      </c>
      <c r="AF83" s="180">
        <f t="shared" si="17"/>
        <v>5838.4372731078183</v>
      </c>
      <c r="AG83" s="214">
        <v>0.13</v>
      </c>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s="14"/>
    </row>
    <row r="84" spans="23:74" x14ac:dyDescent="0.25">
      <c r="W84" s="13"/>
      <c r="X84"/>
      <c r="Y84"/>
      <c r="Z84">
        <v>2040</v>
      </c>
      <c r="AA84" s="180">
        <f t="shared" si="14"/>
        <v>11750.084243635387</v>
      </c>
      <c r="AB84" s="180">
        <f t="shared" si="15"/>
        <v>14065.287571830306</v>
      </c>
      <c r="AC84" s="180"/>
      <c r="AD84" s="180">
        <f t="shared" si="18"/>
        <v>136618.49912347764</v>
      </c>
      <c r="AE84" s="180">
        <f t="shared" si="19"/>
        <v>130519.99701235804</v>
      </c>
      <c r="AF84" s="180">
        <f t="shared" si="17"/>
        <v>6098.5021111195965</v>
      </c>
      <c r="AG84" s="214">
        <v>0.14000000000000001</v>
      </c>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s="14"/>
    </row>
    <row r="85" spans="23:74" x14ac:dyDescent="0.25">
      <c r="W85" s="13"/>
      <c r="X85"/>
      <c r="Y85"/>
      <c r="Z85">
        <v>2041</v>
      </c>
      <c r="AA85" s="180">
        <f t="shared" si="14"/>
        <v>12013.532882461936</v>
      </c>
      <c r="AB85" s="180">
        <f t="shared" si="15"/>
        <v>14533.591321534397</v>
      </c>
      <c r="AC85" s="180"/>
      <c r="AD85" s="180">
        <f t="shared" si="18"/>
        <v>142703.97477080725</v>
      </c>
      <c r="AE85" s="180">
        <f t="shared" si="19"/>
        <v>136333.82360541969</v>
      </c>
      <c r="AF85" s="180">
        <f t="shared" si="17"/>
        <v>6370.1511653875641</v>
      </c>
      <c r="AG85" s="214">
        <v>0.15</v>
      </c>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s="14"/>
    </row>
    <row r="86" spans="23:74" x14ac:dyDescent="0.25">
      <c r="W86" s="13"/>
      <c r="X86"/>
      <c r="Y86"/>
      <c r="Z86">
        <v>2042</v>
      </c>
      <c r="AA86" s="180">
        <f t="shared" si="14"/>
        <v>12282.888303219615</v>
      </c>
      <c r="AB86" s="180">
        <f t="shared" si="15"/>
        <v>15017.487244584887</v>
      </c>
      <c r="AC86" s="180"/>
      <c r="AD86" s="180">
        <f t="shared" si="18"/>
        <v>149060.51922720621</v>
      </c>
      <c r="AE86" s="180">
        <f t="shared" si="19"/>
        <v>142406.61878894939</v>
      </c>
      <c r="AF86" s="180">
        <f t="shared" si="17"/>
        <v>6653.9004382568237</v>
      </c>
      <c r="AG86" s="214">
        <v>0.16</v>
      </c>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s="14"/>
    </row>
    <row r="87" spans="23:74" x14ac:dyDescent="0.25">
      <c r="W87" s="13"/>
      <c r="X87"/>
      <c r="Y87"/>
      <c r="Z87">
        <v>2043</v>
      </c>
      <c r="AA87" s="180">
        <f t="shared" si="14"/>
        <v>12558.282941866102</v>
      </c>
      <c r="AB87" s="180">
        <f t="shared" si="15"/>
        <v>15517.494482393342</v>
      </c>
      <c r="AC87" s="180"/>
      <c r="AD87" s="180">
        <f t="shared" si="18"/>
        <v>155700.20686508328</v>
      </c>
      <c r="AE87" s="180">
        <f t="shared" si="19"/>
        <v>148749.91794842447</v>
      </c>
      <c r="AF87" s="180">
        <f t="shared" si="17"/>
        <v>6950.2889166588138</v>
      </c>
      <c r="AG87" s="214">
        <v>0.17</v>
      </c>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s="14"/>
    </row>
    <row r="88" spans="23:74" x14ac:dyDescent="0.25">
      <c r="W88" s="13"/>
      <c r="X88"/>
      <c r="Y88"/>
      <c r="Z88">
        <v>2044</v>
      </c>
      <c r="AA88" s="180">
        <f t="shared" si="14"/>
        <v>12839.852203705683</v>
      </c>
      <c r="AB88" s="180">
        <f t="shared" si="15"/>
        <v>16034.14946118463</v>
      </c>
      <c r="AC88" s="180"/>
      <c r="AD88" s="180">
        <f t="shared" si="18"/>
        <v>162635.64989249699</v>
      </c>
      <c r="AE88" s="180">
        <f t="shared" si="19"/>
        <v>155375.77029657006</v>
      </c>
      <c r="AF88" s="180">
        <f t="shared" si="17"/>
        <v>7259.8795959269337</v>
      </c>
      <c r="AG88" s="214">
        <v>0.18</v>
      </c>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s="14"/>
    </row>
    <row r="89" spans="23:74" x14ac:dyDescent="0.25">
      <c r="W89" s="13"/>
      <c r="X89"/>
      <c r="Y89"/>
      <c r="Z89">
        <v>2045</v>
      </c>
      <c r="AA89" s="180">
        <f t="shared" si="14"/>
        <v>13127.734529964968</v>
      </c>
      <c r="AB89" s="180">
        <f t="shared" si="15"/>
        <v>16568.006467494775</v>
      </c>
      <c r="AC89" s="180"/>
      <c r="AD89" s="180">
        <f t="shared" si="18"/>
        <v>169880.0223102755</v>
      </c>
      <c r="AE89" s="180">
        <f t="shared" si="19"/>
        <v>162296.76176105885</v>
      </c>
      <c r="AF89" s="180">
        <f t="shared" si="17"/>
        <v>7583.2605492166476</v>
      </c>
      <c r="AG89" s="214">
        <v>0.19</v>
      </c>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s="14"/>
    </row>
    <row r="90" spans="23:74" x14ac:dyDescent="0.25">
      <c r="W90" s="13"/>
      <c r="X90"/>
      <c r="Y90"/>
      <c r="Z90">
        <v>2046</v>
      </c>
      <c r="AA90" s="180">
        <f t="shared" si="14"/>
        <v>13422.071465861312</v>
      </c>
      <c r="AB90" s="180">
        <f t="shared" si="15"/>
        <v>17119.638242830017</v>
      </c>
      <c r="AC90"/>
      <c r="AD90" s="180">
        <f t="shared" si="18"/>
        <v>177447.08493627195</v>
      </c>
      <c r="AE90" s="180">
        <f t="shared" si="19"/>
        <v>169526.03889171104</v>
      </c>
      <c r="AF90" s="180">
        <f t="shared" si="17"/>
        <v>7921.046044560906</v>
      </c>
      <c r="AG90" s="214">
        <v>0.2</v>
      </c>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s="14"/>
    </row>
    <row r="91" spans="23:74" x14ac:dyDescent="0.25">
      <c r="W91" s="13"/>
      <c r="X91"/>
      <c r="Y91"/>
      <c r="Z91">
        <v>2047</v>
      </c>
      <c r="AA91" s="180">
        <f t="shared" si="14"/>
        <v>13723.007730197389</v>
      </c>
      <c r="AB91" s="180">
        <f t="shared" si="15"/>
        <v>17689.636598125042</v>
      </c>
      <c r="AC91"/>
      <c r="AD91" s="180">
        <f t="shared" si="18"/>
        <v>185351.2115442896</v>
      </c>
      <c r="AE91" s="180">
        <f t="shared" si="19"/>
        <v>177077.33383260586</v>
      </c>
      <c r="AF91" s="180">
        <f t="shared" si="17"/>
        <v>8273.8777116837446</v>
      </c>
      <c r="AG91" s="214">
        <v>0.2</v>
      </c>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s="14"/>
    </row>
    <row r="92" spans="23:74" x14ac:dyDescent="0.25">
      <c r="W92" s="13"/>
      <c r="X92"/>
      <c r="Y92"/>
      <c r="Z92">
        <v>2048</v>
      </c>
      <c r="AA92" s="180">
        <f t="shared" si="14"/>
        <v>14030.691286516145</v>
      </c>
      <c r="AB92" s="180">
        <f t="shared" si="15"/>
        <v>18278.613048659616</v>
      </c>
      <c r="AC92"/>
      <c r="AD92" s="180">
        <f t="shared" si="18"/>
        <v>193607.41616732796</v>
      </c>
      <c r="AE92" s="180">
        <f t="shared" si="19"/>
        <v>184964.99040654051</v>
      </c>
      <c r="AF92" s="180">
        <f t="shared" si="17"/>
        <v>8642.4257607874461</v>
      </c>
      <c r="AG92" s="214">
        <v>0.2</v>
      </c>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s="14"/>
    </row>
    <row r="93" spans="23:74" x14ac:dyDescent="0.25">
      <c r="W93" s="13"/>
      <c r="X93"/>
      <c r="Y93"/>
      <c r="Z93">
        <v>2049</v>
      </c>
      <c r="AA93" s="180">
        <f t="shared" si="14"/>
        <v>14345.273415851123</v>
      </c>
      <c r="AB93" s="180">
        <f t="shared" si="15"/>
        <v>18887.199470114738</v>
      </c>
      <c r="AC93"/>
      <c r="AD93" s="180">
        <f t="shared" si="18"/>
        <v>202231.38161701293</v>
      </c>
      <c r="AE93" s="180">
        <f t="shared" si="19"/>
        <v>193203.99136138361</v>
      </c>
      <c r="AF93" s="180">
        <f t="shared" si="17"/>
        <v>9027.3902556293178</v>
      </c>
      <c r="AG93" s="214">
        <v>0.2</v>
      </c>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s="14"/>
    </row>
    <row r="94" spans="23:74" x14ac:dyDescent="0.25">
      <c r="W94" s="13"/>
      <c r="X94"/>
      <c r="Y94"/>
      <c r="Z94">
        <v>2050</v>
      </c>
      <c r="AA94" s="180">
        <f t="shared" si="14"/>
        <v>14666.90879110792</v>
      </c>
      <c r="AB94" s="180">
        <f t="shared" si="15"/>
        <v>19516.048776472209</v>
      </c>
      <c r="AC94"/>
      <c r="AD94" s="180">
        <f t="shared" si="18"/>
        <v>211239.48927338424</v>
      </c>
      <c r="AE94" s="180">
        <f t="shared" si="19"/>
        <v>201809.98683007879</v>
      </c>
      <c r="AF94" s="180">
        <f t="shared" si="17"/>
        <v>9429.5024433054496</v>
      </c>
      <c r="AG94" s="214">
        <v>0.2</v>
      </c>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s="14"/>
    </row>
    <row r="95" spans="23:74" x14ac:dyDescent="0.25">
      <c r="W95" s="13"/>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s="14"/>
    </row>
    <row r="96" spans="23:74" x14ac:dyDescent="0.25">
      <c r="W96" s="13"/>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s="14"/>
    </row>
    <row r="97" spans="23:74" x14ac:dyDescent="0.25">
      <c r="W97" s="13"/>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s="14"/>
    </row>
    <row r="98" spans="23:74" x14ac:dyDescent="0.25">
      <c r="W98" s="13"/>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s="14"/>
    </row>
    <row r="99" spans="23:74" x14ac:dyDescent="0.25">
      <c r="W99" s="13"/>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s="14"/>
    </row>
    <row r="100" spans="23:74" x14ac:dyDescent="0.25">
      <c r="W100" s="13"/>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s="14"/>
    </row>
    <row r="101" spans="23:74" x14ac:dyDescent="0.25">
      <c r="W101" s="13"/>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s="14"/>
    </row>
    <row r="102" spans="23:74" x14ac:dyDescent="0.25">
      <c r="W102" s="13"/>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s="14"/>
    </row>
    <row r="103" spans="23:74" x14ac:dyDescent="0.25">
      <c r="W103" s="1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s="14"/>
    </row>
    <row r="104" spans="23:74" x14ac:dyDescent="0.25">
      <c r="W104" s="13"/>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s="14"/>
    </row>
    <row r="105" spans="23:74" x14ac:dyDescent="0.25">
      <c r="W105" s="13"/>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s="14"/>
    </row>
    <row r="106" spans="23:74" x14ac:dyDescent="0.25">
      <c r="W106" s="13"/>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s="14"/>
    </row>
    <row r="107" spans="23:74" x14ac:dyDescent="0.25">
      <c r="W107" s="13"/>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s="14"/>
    </row>
    <row r="108" spans="23:74" x14ac:dyDescent="0.25">
      <c r="W108" s="13"/>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s="14"/>
    </row>
    <row r="109" spans="23:74" x14ac:dyDescent="0.25">
      <c r="W109" s="13"/>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s="14"/>
    </row>
    <row r="110" spans="23:74" x14ac:dyDescent="0.25">
      <c r="W110" s="13"/>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s="14"/>
    </row>
    <row r="111" spans="23:74" x14ac:dyDescent="0.25">
      <c r="W111" s="13"/>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s="14"/>
    </row>
    <row r="112" spans="23:74" ht="15.75" thickBot="1" x14ac:dyDescent="0.3">
      <c r="W112" s="15"/>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7"/>
    </row>
  </sheetData>
  <mergeCells count="1">
    <mergeCell ref="D8:H8"/>
  </mergeCells>
  <conditionalFormatting sqref="B33:E62">
    <cfRule type="expression" dxfId="10" priority="6">
      <formula>$A33=""</formula>
    </cfRule>
  </conditionalFormatting>
  <conditionalFormatting sqref="G33:N62">
    <cfRule type="expression" dxfId="9" priority="1">
      <formula>$A33=""</formula>
    </cfRule>
  </conditionalFormatting>
  <hyperlinks>
    <hyperlink ref="D23" r:id="rId1" xr:uid="{E65F2D7E-5A9C-4EC2-B510-A9F5313475FA}"/>
  </hyperlinks>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F779B-5621-4FD7-9FF5-8762E5B5030F}">
  <sheetPr>
    <tabColor theme="9" tint="0.39997558519241921"/>
  </sheetPr>
  <dimension ref="A1:BA99"/>
  <sheetViews>
    <sheetView topLeftCell="A15" workbookViewId="0">
      <selection activeCell="A5" sqref="A5"/>
    </sheetView>
  </sheetViews>
  <sheetFormatPr defaultColWidth="9.140625" defaultRowHeight="15" x14ac:dyDescent="0.25"/>
  <cols>
    <col min="1" max="1" width="32" style="5" customWidth="1"/>
    <col min="2" max="2" width="24.42578125" style="5" customWidth="1"/>
    <col min="3" max="3" width="25.7109375" style="5" customWidth="1"/>
    <col min="4" max="4" width="24.42578125" style="5" customWidth="1"/>
    <col min="5" max="10" width="9.140625" style="5"/>
    <col min="11" max="11" width="10.28515625" style="5" customWidth="1"/>
    <col min="12" max="16384" width="9.140625" style="5"/>
  </cols>
  <sheetData>
    <row r="1" spans="1:11" ht="20.25" thickBot="1" x14ac:dyDescent="0.35">
      <c r="A1" s="96" t="s">
        <v>332</v>
      </c>
    </row>
    <row r="2" spans="1:11" ht="15.75" thickTop="1" x14ac:dyDescent="0.25">
      <c r="A2" s="152" t="s">
        <v>245</v>
      </c>
      <c r="B2" s="152"/>
      <c r="C2" s="152"/>
      <c r="D2" s="152"/>
      <c r="E2" s="152"/>
      <c r="F2" s="152"/>
      <c r="G2" s="152"/>
      <c r="H2" s="152"/>
      <c r="I2" s="152"/>
    </row>
    <row r="3" spans="1:11" x14ac:dyDescent="0.25">
      <c r="A3" s="5" t="s">
        <v>205</v>
      </c>
    </row>
    <row r="4" spans="1:11" x14ac:dyDescent="0.25">
      <c r="A4" s="153" t="s">
        <v>354</v>
      </c>
      <c r="B4" s="152"/>
      <c r="C4" s="152"/>
      <c r="D4" s="152"/>
      <c r="E4" s="152"/>
      <c r="F4" s="152"/>
      <c r="G4" s="152"/>
      <c r="H4" s="152"/>
      <c r="I4" s="152"/>
      <c r="J4" s="152"/>
      <c r="K4" s="152"/>
    </row>
    <row r="5" spans="1:11" x14ac:dyDescent="0.25">
      <c r="A5" s="38" t="s">
        <v>205</v>
      </c>
    </row>
    <row r="6" spans="1:11" x14ac:dyDescent="0.25">
      <c r="A6" s="97" t="s">
        <v>246</v>
      </c>
    </row>
    <row r="7" spans="1:11" x14ac:dyDescent="0.25">
      <c r="A7" s="117" t="s">
        <v>144</v>
      </c>
      <c r="B7" s="160" t="s">
        <v>259</v>
      </c>
      <c r="C7" s="161" t="s">
        <v>260</v>
      </c>
      <c r="D7" s="162" t="s">
        <v>261</v>
      </c>
    </row>
    <row r="8" spans="1:11" x14ac:dyDescent="0.25">
      <c r="A8" s="43" t="str">
        <f>'Parameter Values'!A231</f>
        <v>Light-Duty Vehicles - Urban</v>
      </c>
      <c r="B8" s="143">
        <f>'Parameter Values'!B231</f>
        <v>0.14299999999999999</v>
      </c>
      <c r="C8" s="144">
        <f>'Parameter Values'!C231</f>
        <v>2E-3</v>
      </c>
      <c r="D8" s="142">
        <f>'Parameter Values'!D231</f>
        <v>1.7999999999999999E-2</v>
      </c>
    </row>
    <row r="9" spans="1:11" x14ac:dyDescent="0.25">
      <c r="A9" s="43" t="str">
        <f>'Parameter Values'!A232</f>
        <v>Light-Duty Vehicles - Rural</v>
      </c>
      <c r="B9" s="143">
        <f>'Parameter Values'!B232</f>
        <v>0.03</v>
      </c>
      <c r="C9" s="144">
        <f>'Parameter Values'!C232</f>
        <v>2.0000000000000001E-4</v>
      </c>
      <c r="D9" s="142">
        <f>'Parameter Values'!D232</f>
        <v>0.10199999999999999</v>
      </c>
    </row>
    <row r="10" spans="1:11" x14ac:dyDescent="0.25">
      <c r="A10" s="43" t="str">
        <f>'Parameter Values'!A233</f>
        <v>Light-Duty Vehicles – All Locations</v>
      </c>
      <c r="B10" s="143">
        <f>'Parameter Values'!B233</f>
        <v>0.12</v>
      </c>
      <c r="C10" s="144">
        <f>'Parameter Values'!C233</f>
        <v>1.1000000000000001E-3</v>
      </c>
      <c r="D10" s="142">
        <f>'Parameter Values'!D233</f>
        <v>4.2000000000000003E-2</v>
      </c>
    </row>
    <row r="11" spans="1:11" x14ac:dyDescent="0.25">
      <c r="A11" s="43" t="str">
        <f>'Parameter Values'!A234</f>
        <v>Buses and Trucks - Urban</v>
      </c>
      <c r="B11" s="143">
        <f>'Parameter Values'!B234</f>
        <v>0.35799999999999998</v>
      </c>
      <c r="C11" s="144">
        <f>'Parameter Values'!C234</f>
        <v>4.53E-2</v>
      </c>
      <c r="D11" s="142">
        <f>'Parameter Values'!D234</f>
        <v>1.7000000000000001E-2</v>
      </c>
    </row>
    <row r="12" spans="1:11" x14ac:dyDescent="0.25">
      <c r="A12" s="43" t="str">
        <f>'Parameter Values'!A235</f>
        <v>Buses and Trucks - Rural</v>
      </c>
      <c r="B12" s="143">
        <f>'Parameter Values'!B235</f>
        <v>7.8E-2</v>
      </c>
      <c r="C12" s="144">
        <f>'Parameter Values'!C235</f>
        <v>3.8E-3</v>
      </c>
      <c r="D12" s="142">
        <f>'Parameter Values'!D235</f>
        <v>2.9000000000000001E-2</v>
      </c>
    </row>
    <row r="13" spans="1:11" x14ac:dyDescent="0.25">
      <c r="A13" s="43" t="str">
        <f>'Parameter Values'!A236</f>
        <v>Buses and Trucks – All Locations</v>
      </c>
      <c r="B13" s="143">
        <f>'Parameter Values'!B236</f>
        <v>0.245</v>
      </c>
      <c r="C13" s="144">
        <f>'Parameter Values'!C236</f>
        <v>2.2800000000000001E-2</v>
      </c>
      <c r="D13" s="142">
        <f>'Parameter Values'!D236</f>
        <v>2.1999999999999999E-2</v>
      </c>
    </row>
    <row r="14" spans="1:11" x14ac:dyDescent="0.25">
      <c r="A14" s="43" t="str">
        <f>'Parameter Values'!A237</f>
        <v>All Vehicles - Urban</v>
      </c>
      <c r="B14" s="143">
        <f>'Parameter Values'!B237</f>
        <v>0.159</v>
      </c>
      <c r="C14" s="144">
        <f>'Parameter Values'!C237</f>
        <v>5.3E-3</v>
      </c>
      <c r="D14" s="142">
        <f>'Parameter Values'!D237</f>
        <v>1.7999999999999999E-2</v>
      </c>
    </row>
    <row r="15" spans="1:11" x14ac:dyDescent="0.25">
      <c r="A15" s="43" t="str">
        <f>'Parameter Values'!A238</f>
        <v>All Vehicles - Rural</v>
      </c>
      <c r="B15" s="143">
        <f>'Parameter Values'!B238</f>
        <v>3.6999999999999998E-2</v>
      </c>
      <c r="C15" s="144">
        <f>'Parameter Values'!C238</f>
        <v>6.9999999999999999E-4</v>
      </c>
      <c r="D15" s="142">
        <f>'Parameter Values'!D238</f>
        <v>9.0999999999999998E-2</v>
      </c>
    </row>
    <row r="16" spans="1:11" x14ac:dyDescent="0.25">
      <c r="A16" s="43" t="str">
        <f>'Parameter Values'!A239</f>
        <v>All Vehicles – All Locations</v>
      </c>
      <c r="B16" s="143">
        <f>'Parameter Values'!B239</f>
        <v>0.13300000000000001</v>
      </c>
      <c r="C16" s="144">
        <f>'Parameter Values'!C239</f>
        <v>3.2000000000000002E-3</v>
      </c>
      <c r="D16" s="142">
        <f>'Parameter Values'!D239</f>
        <v>0.04</v>
      </c>
    </row>
    <row r="17" spans="1:53" x14ac:dyDescent="0.25">
      <c r="A17" s="38" t="s">
        <v>205</v>
      </c>
    </row>
    <row r="18" spans="1:53" ht="15.75" thickBot="1" x14ac:dyDescent="0.3">
      <c r="A18" s="97" t="s">
        <v>262</v>
      </c>
    </row>
    <row r="19" spans="1:53" x14ac:dyDescent="0.25">
      <c r="A19" s="107" t="s">
        <v>4</v>
      </c>
      <c r="B19" s="108" t="s">
        <v>258</v>
      </c>
      <c r="F19" s="10" t="s">
        <v>161</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2"/>
    </row>
    <row r="20" spans="1:53" x14ac:dyDescent="0.25">
      <c r="A20" s="6">
        <f>'Project Information'!$B$9</f>
        <v>2029</v>
      </c>
      <c r="B20" s="164">
        <v>0</v>
      </c>
      <c r="F20" s="13"/>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s="14"/>
    </row>
    <row r="21" spans="1:53" x14ac:dyDescent="0.25">
      <c r="A21" s="1">
        <f>IF(A20&lt;'Project Information'!B$11,A20+1,"")</f>
        <v>2030</v>
      </c>
      <c r="B21" s="164">
        <v>0</v>
      </c>
      <c r="F21" s="13"/>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s="14"/>
    </row>
    <row r="22" spans="1:53" x14ac:dyDescent="0.25">
      <c r="A22" s="1">
        <f>IF(A21&lt;'Project Information'!B$11,A21+1,"")</f>
        <v>2031</v>
      </c>
      <c r="B22" s="164">
        <v>0</v>
      </c>
      <c r="F22" s="13"/>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s="14"/>
    </row>
    <row r="23" spans="1:53" x14ac:dyDescent="0.25">
      <c r="A23" s="1">
        <f>IF(A22&lt;'Project Information'!B$11,A22+1,"")</f>
        <v>2032</v>
      </c>
      <c r="B23" s="164">
        <v>0</v>
      </c>
      <c r="F23" s="1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s="14"/>
    </row>
    <row r="24" spans="1:53" x14ac:dyDescent="0.25">
      <c r="A24" s="1">
        <f>IF(A23&lt;'Project Information'!B$11,A23+1,"")</f>
        <v>2033</v>
      </c>
      <c r="B24" s="164">
        <v>0</v>
      </c>
      <c r="F24" s="13"/>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s="14"/>
    </row>
    <row r="25" spans="1:53" x14ac:dyDescent="0.25">
      <c r="A25" s="1">
        <f>IF(A24&lt;'Project Information'!B$11,A24+1,"")</f>
        <v>2034</v>
      </c>
      <c r="B25" s="164">
        <v>0</v>
      </c>
      <c r="F25" s="13"/>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s="14"/>
    </row>
    <row r="26" spans="1:53" x14ac:dyDescent="0.25">
      <c r="A26" s="1">
        <f>IF(A25&lt;'Project Information'!B$11,A25+1,"")</f>
        <v>2035</v>
      </c>
      <c r="B26" s="164">
        <v>0</v>
      </c>
      <c r="F26" s="13"/>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s="14"/>
    </row>
    <row r="27" spans="1:53" x14ac:dyDescent="0.25">
      <c r="A27" s="1">
        <f>IF(A26&lt;'Project Information'!B$11,A26+1,"")</f>
        <v>2036</v>
      </c>
      <c r="B27" s="164">
        <v>0</v>
      </c>
      <c r="F27" s="13"/>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s="14"/>
    </row>
    <row r="28" spans="1:53" x14ac:dyDescent="0.25">
      <c r="A28" s="1">
        <f>IF(A27&lt;'Project Information'!B$11,A27+1,"")</f>
        <v>2037</v>
      </c>
      <c r="B28" s="164">
        <v>0</v>
      </c>
      <c r="F28" s="13"/>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s="14"/>
    </row>
    <row r="29" spans="1:53" x14ac:dyDescent="0.25">
      <c r="A29" s="1">
        <f>IF(A28&lt;'Project Information'!B$11,A28+1,"")</f>
        <v>2038</v>
      </c>
      <c r="B29" s="164">
        <v>0</v>
      </c>
      <c r="F29" s="13"/>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s="14"/>
    </row>
    <row r="30" spans="1:53" x14ac:dyDescent="0.25">
      <c r="A30" s="1">
        <f>IF(A29&lt;'Project Information'!B$11,A29+1,"")</f>
        <v>2039</v>
      </c>
      <c r="B30" s="164">
        <v>0</v>
      </c>
      <c r="F30" s="13"/>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s="14"/>
    </row>
    <row r="31" spans="1:53" x14ac:dyDescent="0.25">
      <c r="A31" s="1">
        <f>IF(A30&lt;'Project Information'!B$11,A30+1,"")</f>
        <v>2040</v>
      </c>
      <c r="B31" s="164">
        <v>0</v>
      </c>
      <c r="F31" s="13"/>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s="14"/>
    </row>
    <row r="32" spans="1:53" x14ac:dyDescent="0.25">
      <c r="A32" s="1">
        <f>IF(A31&lt;'Project Information'!B$11,A31+1,"")</f>
        <v>2041</v>
      </c>
      <c r="B32" s="164">
        <v>0</v>
      </c>
      <c r="F32" s="13"/>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s="14"/>
    </row>
    <row r="33" spans="1:53" x14ac:dyDescent="0.25">
      <c r="A33" s="1">
        <f>IF(A32&lt;'Project Information'!B$11,A32+1,"")</f>
        <v>2042</v>
      </c>
      <c r="B33" s="164">
        <v>0</v>
      </c>
      <c r="F33" s="1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s="14"/>
    </row>
    <row r="34" spans="1:53" x14ac:dyDescent="0.25">
      <c r="A34" s="1">
        <f>IF(A33&lt;'Project Information'!B$11,A33+1,"")</f>
        <v>2043</v>
      </c>
      <c r="B34" s="164">
        <v>0</v>
      </c>
      <c r="F34" s="13"/>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s="14"/>
    </row>
    <row r="35" spans="1:53" x14ac:dyDescent="0.25">
      <c r="A35" s="1">
        <f>IF(A34&lt;'Project Information'!B$11,A34+1,"")</f>
        <v>2044</v>
      </c>
      <c r="B35" s="164">
        <v>0</v>
      </c>
      <c r="F35" s="13"/>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s="14"/>
    </row>
    <row r="36" spans="1:53" x14ac:dyDescent="0.25">
      <c r="A36" s="1">
        <f>IF(A35&lt;'Project Information'!B$11,A35+1,"")</f>
        <v>2045</v>
      </c>
      <c r="B36" s="164">
        <v>0</v>
      </c>
      <c r="F36" s="13"/>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s="14"/>
    </row>
    <row r="37" spans="1:53" x14ac:dyDescent="0.25">
      <c r="A37" s="1">
        <f>IF(A36&lt;'Project Information'!B$11,A36+1,"")</f>
        <v>2046</v>
      </c>
      <c r="B37" s="164">
        <v>0</v>
      </c>
      <c r="F37" s="13"/>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s="14"/>
    </row>
    <row r="38" spans="1:53" x14ac:dyDescent="0.25">
      <c r="A38" s="1">
        <f>IF(A37&lt;'Project Information'!B$11,A37+1,"")</f>
        <v>2047</v>
      </c>
      <c r="B38" s="164">
        <v>0</v>
      </c>
      <c r="F38" s="13"/>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s="14"/>
    </row>
    <row r="39" spans="1:53" x14ac:dyDescent="0.25">
      <c r="A39" s="1">
        <f>IF(A38&lt;'Project Information'!B$11,A38+1,"")</f>
        <v>2048</v>
      </c>
      <c r="B39" s="164">
        <v>0</v>
      </c>
      <c r="F39" s="13"/>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s="14"/>
    </row>
    <row r="40" spans="1:53" x14ac:dyDescent="0.25">
      <c r="A40" s="1" t="str">
        <f>IF(A39&lt;'Project Information'!B$11,A39+1,"")</f>
        <v/>
      </c>
      <c r="B40" s="164">
        <v>0</v>
      </c>
      <c r="F40" s="13"/>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s="14"/>
    </row>
    <row r="41" spans="1:53" x14ac:dyDescent="0.25">
      <c r="A41" s="1" t="str">
        <f>IF(A40&lt;'Project Information'!B$11,A40+1,"")</f>
        <v/>
      </c>
      <c r="B41" s="164">
        <v>0</v>
      </c>
      <c r="F41" s="13"/>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s="14"/>
    </row>
    <row r="42" spans="1:53" x14ac:dyDescent="0.25">
      <c r="A42" s="1" t="str">
        <f>IF(A41&lt;'Project Information'!B$11,A41+1,"")</f>
        <v/>
      </c>
      <c r="B42" s="164">
        <v>0</v>
      </c>
      <c r="F42" s="13"/>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s="14"/>
    </row>
    <row r="43" spans="1:53" x14ac:dyDescent="0.25">
      <c r="A43" s="1" t="str">
        <f>IF(A42&lt;'Project Information'!B$11,A42+1,"")</f>
        <v/>
      </c>
      <c r="B43" s="164">
        <v>0</v>
      </c>
      <c r="F43" s="1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s="14"/>
    </row>
    <row r="44" spans="1:53" x14ac:dyDescent="0.25">
      <c r="A44" s="1" t="str">
        <f>IF(A43&lt;'Project Information'!B$11,A43+1,"")</f>
        <v/>
      </c>
      <c r="B44" s="164">
        <v>0</v>
      </c>
      <c r="F44" s="13"/>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s="14"/>
    </row>
    <row r="45" spans="1:53" x14ac:dyDescent="0.25">
      <c r="A45" s="1" t="str">
        <f>IF(A44&lt;'Project Information'!B$11,A44+1,"")</f>
        <v/>
      </c>
      <c r="B45" s="164">
        <v>0</v>
      </c>
      <c r="F45" s="13"/>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s="14"/>
    </row>
    <row r="46" spans="1:53" x14ac:dyDescent="0.25">
      <c r="A46" s="1" t="str">
        <f>IF(A45&lt;'Project Information'!B$11,A45+1,"")</f>
        <v/>
      </c>
      <c r="B46" s="164">
        <v>0</v>
      </c>
      <c r="F46" s="13"/>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s="14"/>
    </row>
    <row r="47" spans="1:53" x14ac:dyDescent="0.25">
      <c r="A47" s="1" t="str">
        <f>IF(A46&lt;'Project Information'!B$11,A46+1,"")</f>
        <v/>
      </c>
      <c r="B47" s="164">
        <v>0</v>
      </c>
      <c r="F47" s="13"/>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s="14"/>
    </row>
    <row r="48" spans="1:53" x14ac:dyDescent="0.25">
      <c r="A48" s="1" t="str">
        <f>IF(A47&lt;'Project Information'!B$11,A47+1,"")</f>
        <v/>
      </c>
      <c r="B48" s="164">
        <v>0</v>
      </c>
      <c r="F48" s="13"/>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s="14"/>
    </row>
    <row r="49" spans="1:53" x14ac:dyDescent="0.25">
      <c r="A49" s="2" t="str">
        <f>IF(A48&lt;'Project Information'!B$11,A48+1,"")</f>
        <v/>
      </c>
      <c r="B49" s="120">
        <v>0</v>
      </c>
      <c r="F49" s="13"/>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s="14"/>
    </row>
    <row r="50" spans="1:53" x14ac:dyDescent="0.25">
      <c r="F50" s="13"/>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s="14"/>
    </row>
    <row r="51" spans="1:53" x14ac:dyDescent="0.25">
      <c r="F51" s="13"/>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s="14"/>
    </row>
    <row r="52" spans="1:53" x14ac:dyDescent="0.25">
      <c r="F52" s="13"/>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s="14"/>
    </row>
    <row r="53" spans="1:53" x14ac:dyDescent="0.25">
      <c r="F53" s="1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s="14"/>
    </row>
    <row r="54" spans="1:53" x14ac:dyDescent="0.25">
      <c r="F54" s="13"/>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s="14"/>
    </row>
    <row r="55" spans="1:53" x14ac:dyDescent="0.25">
      <c r="F55" s="13"/>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s="14"/>
    </row>
    <row r="56" spans="1:53" x14ac:dyDescent="0.25">
      <c r="F56" s="13"/>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s="14"/>
    </row>
    <row r="57" spans="1:53" x14ac:dyDescent="0.25">
      <c r="F57" s="13"/>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s="14"/>
    </row>
    <row r="58" spans="1:53" x14ac:dyDescent="0.25">
      <c r="F58" s="13"/>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s="14"/>
    </row>
    <row r="59" spans="1:53" x14ac:dyDescent="0.25">
      <c r="F59" s="13"/>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s="14"/>
    </row>
    <row r="60" spans="1:53" x14ac:dyDescent="0.25">
      <c r="F60" s="13"/>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s="14"/>
    </row>
    <row r="61" spans="1:53" x14ac:dyDescent="0.25">
      <c r="F61" s="13"/>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s="14"/>
    </row>
    <row r="62" spans="1:53" x14ac:dyDescent="0.25">
      <c r="F62" s="13"/>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s="14"/>
    </row>
    <row r="63" spans="1:53" x14ac:dyDescent="0.25">
      <c r="F63" s="1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s="14"/>
    </row>
    <row r="64" spans="1:53" x14ac:dyDescent="0.25">
      <c r="F64" s="13"/>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s="14"/>
    </row>
    <row r="65" spans="6:53" x14ac:dyDescent="0.25">
      <c r="F65" s="13"/>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s="14"/>
    </row>
    <row r="66" spans="6:53" x14ac:dyDescent="0.25">
      <c r="F66" s="13"/>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s="14"/>
    </row>
    <row r="67" spans="6:53" x14ac:dyDescent="0.25">
      <c r="F67" s="13"/>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s="14"/>
    </row>
    <row r="68" spans="6:53" x14ac:dyDescent="0.25">
      <c r="F68" s="13"/>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s="14"/>
    </row>
    <row r="69" spans="6:53" x14ac:dyDescent="0.25">
      <c r="F69" s="13"/>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s="14"/>
    </row>
    <row r="70" spans="6:53" x14ac:dyDescent="0.25">
      <c r="F70" s="13"/>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s="14"/>
    </row>
    <row r="71" spans="6:53" x14ac:dyDescent="0.25">
      <c r="F71" s="13"/>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s="14"/>
    </row>
    <row r="72" spans="6:53" x14ac:dyDescent="0.25">
      <c r="F72" s="13"/>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s="14"/>
    </row>
    <row r="73" spans="6:53" x14ac:dyDescent="0.25">
      <c r="F73" s="1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s="14"/>
    </row>
    <row r="74" spans="6:53" x14ac:dyDescent="0.25">
      <c r="F74" s="13"/>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s="14"/>
    </row>
    <row r="75" spans="6:53" x14ac:dyDescent="0.25">
      <c r="F75" s="13"/>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s="14"/>
    </row>
    <row r="76" spans="6:53" x14ac:dyDescent="0.25">
      <c r="F76" s="13"/>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s="14"/>
    </row>
    <row r="77" spans="6:53" x14ac:dyDescent="0.25">
      <c r="F77" s="13"/>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s="14"/>
    </row>
    <row r="78" spans="6:53" x14ac:dyDescent="0.25">
      <c r="F78" s="13"/>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s="14"/>
    </row>
    <row r="79" spans="6:53" x14ac:dyDescent="0.25">
      <c r="F79" s="13"/>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s="14"/>
    </row>
    <row r="80" spans="6:53" x14ac:dyDescent="0.25">
      <c r="F80" s="13"/>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s="14"/>
    </row>
    <row r="81" spans="6:53" x14ac:dyDescent="0.25">
      <c r="F81" s="13"/>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s="14"/>
    </row>
    <row r="82" spans="6:53" x14ac:dyDescent="0.25">
      <c r="F82" s="13"/>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s="14"/>
    </row>
    <row r="83" spans="6:53" x14ac:dyDescent="0.25">
      <c r="F83" s="1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s="14"/>
    </row>
    <row r="84" spans="6:53" x14ac:dyDescent="0.25">
      <c r="F84" s="13"/>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s="14"/>
    </row>
    <row r="85" spans="6:53" x14ac:dyDescent="0.25">
      <c r="F85" s="13"/>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s="14"/>
    </row>
    <row r="86" spans="6:53" x14ac:dyDescent="0.25">
      <c r="F86" s="13"/>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s="14"/>
    </row>
    <row r="87" spans="6:53" x14ac:dyDescent="0.25">
      <c r="F87" s="13"/>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s="14"/>
    </row>
    <row r="88" spans="6:53" x14ac:dyDescent="0.25">
      <c r="F88" s="13"/>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s="14"/>
    </row>
    <row r="89" spans="6:53" x14ac:dyDescent="0.25">
      <c r="F89" s="13"/>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s="14"/>
    </row>
    <row r="90" spans="6:53" x14ac:dyDescent="0.25">
      <c r="F90" s="13"/>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s="14"/>
    </row>
    <row r="91" spans="6:53" x14ac:dyDescent="0.25">
      <c r="F91" s="13"/>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s="14"/>
    </row>
    <row r="92" spans="6:53" x14ac:dyDescent="0.25">
      <c r="F92" s="13"/>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s="14"/>
    </row>
    <row r="93" spans="6:53" x14ac:dyDescent="0.25">
      <c r="F93" s="1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s="14"/>
    </row>
    <row r="94" spans="6:53" x14ac:dyDescent="0.25">
      <c r="F94" s="13"/>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s="14"/>
    </row>
    <row r="95" spans="6:53" x14ac:dyDescent="0.25">
      <c r="F95" s="13"/>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s="14"/>
    </row>
    <row r="96" spans="6:53" x14ac:dyDescent="0.25">
      <c r="F96" s="13"/>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s="14"/>
    </row>
    <row r="97" spans="6:53" x14ac:dyDescent="0.25">
      <c r="F97" s="13"/>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s="14"/>
    </row>
    <row r="98" spans="6:53" x14ac:dyDescent="0.25">
      <c r="F98" s="13"/>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s="14"/>
    </row>
    <row r="99" spans="6:53" ht="15.75" thickBot="1" x14ac:dyDescent="0.3">
      <c r="F99" s="15"/>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7"/>
    </row>
  </sheetData>
  <conditionalFormatting sqref="B20:B49">
    <cfRule type="expression" dxfId="8" priority="1">
      <formula>A20=""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582A7-60FE-4049-9E01-0156D8D060ED}">
  <sheetPr>
    <tabColor theme="9" tint="0.39997558519241921"/>
  </sheetPr>
  <dimension ref="A1:AZ90"/>
  <sheetViews>
    <sheetView topLeftCell="A12" workbookViewId="0">
      <selection activeCell="I28" sqref="I28"/>
    </sheetView>
  </sheetViews>
  <sheetFormatPr defaultColWidth="9.140625" defaultRowHeight="15" x14ac:dyDescent="0.25"/>
  <cols>
    <col min="1" max="1" width="26.42578125" style="5" customWidth="1"/>
    <col min="2" max="2" width="28.85546875" style="5" customWidth="1"/>
    <col min="3" max="5" width="9.140625" style="5"/>
    <col min="6" max="6" width="12.7109375" style="5" customWidth="1"/>
    <col min="7" max="19" width="9.140625" style="5"/>
    <col min="20" max="21" width="10.140625" style="5" bestFit="1" customWidth="1"/>
    <col min="22" max="22" width="18.5703125" style="5" bestFit="1" customWidth="1"/>
    <col min="23" max="16384" width="9.140625" style="5"/>
  </cols>
  <sheetData>
    <row r="1" spans="1:52" ht="20.25" thickBot="1" x14ac:dyDescent="0.35">
      <c r="A1" s="96" t="s">
        <v>14</v>
      </c>
    </row>
    <row r="2" spans="1:52" ht="15.75" thickTop="1" x14ac:dyDescent="0.25">
      <c r="A2" s="152" t="s">
        <v>245</v>
      </c>
      <c r="B2" s="152"/>
      <c r="C2" s="152"/>
      <c r="D2" s="152"/>
      <c r="E2" s="152"/>
      <c r="F2" s="152"/>
      <c r="G2" s="152"/>
      <c r="H2" s="152"/>
      <c r="I2" s="152"/>
      <c r="J2" s="152"/>
      <c r="K2" s="152"/>
    </row>
    <row r="3" spans="1:52" x14ac:dyDescent="0.25">
      <c r="A3" s="5" t="s">
        <v>205</v>
      </c>
    </row>
    <row r="4" spans="1:52" x14ac:dyDescent="0.25">
      <c r="A4" s="153" t="s">
        <v>354</v>
      </c>
      <c r="B4" s="152"/>
      <c r="C4" s="152"/>
      <c r="D4" s="152"/>
      <c r="E4" s="152"/>
      <c r="F4" s="152"/>
      <c r="G4" s="152"/>
      <c r="H4" s="152"/>
      <c r="I4" s="152"/>
      <c r="J4" s="152"/>
      <c r="K4" s="152"/>
      <c r="L4" s="152"/>
      <c r="M4" s="152"/>
      <c r="N4" s="152"/>
    </row>
    <row r="5" spans="1:52" x14ac:dyDescent="0.25">
      <c r="A5" s="38" t="s">
        <v>205</v>
      </c>
    </row>
    <row r="6" spans="1:52" x14ac:dyDescent="0.25">
      <c r="A6" s="153" t="s">
        <v>253</v>
      </c>
      <c r="B6" s="152"/>
      <c r="C6" s="152"/>
      <c r="D6" s="152"/>
      <c r="E6" s="152"/>
    </row>
    <row r="7" spans="1:52" x14ac:dyDescent="0.25">
      <c r="A7" s="153" t="s">
        <v>254</v>
      </c>
      <c r="B7" s="152"/>
      <c r="C7" s="152"/>
      <c r="D7" s="152"/>
      <c r="E7" s="152"/>
      <c r="F7" s="152"/>
      <c r="G7" s="152"/>
      <c r="H7" s="152"/>
    </row>
    <row r="8" spans="1:52" x14ac:dyDescent="0.25">
      <c r="A8" s="5" t="s">
        <v>205</v>
      </c>
    </row>
    <row r="9" spans="1:52" ht="15.75" thickBot="1" x14ac:dyDescent="0.3">
      <c r="A9" s="97" t="s">
        <v>250</v>
      </c>
    </row>
    <row r="10" spans="1:52" x14ac:dyDescent="0.25">
      <c r="A10" s="107" t="s">
        <v>4</v>
      </c>
      <c r="B10" s="108" t="s">
        <v>14</v>
      </c>
      <c r="E10" s="10" t="s">
        <v>161</v>
      </c>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2"/>
    </row>
    <row r="11" spans="1:52" x14ac:dyDescent="0.25">
      <c r="A11" s="6">
        <f>'Project Information'!$B$9</f>
        <v>2029</v>
      </c>
      <c r="B11" s="164">
        <f t="shared" ref="B11:B30" si="0">V17</f>
        <v>67983.000000000015</v>
      </c>
      <c r="E11" s="13"/>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s="14"/>
    </row>
    <row r="12" spans="1:52" ht="16.5" thickBot="1" x14ac:dyDescent="0.3">
      <c r="A12" s="1">
        <f>IF(A11&lt;'Project Information'!B$11,A11+1,"")</f>
        <v>2030</v>
      </c>
      <c r="B12" s="164">
        <f t="shared" si="0"/>
        <v>68662.830000000016</v>
      </c>
      <c r="E12" s="13"/>
      <c r="F12" s="308" t="s">
        <v>498</v>
      </c>
      <c r="G12" s="308"/>
      <c r="H12" s="308"/>
      <c r="I12" s="308"/>
      <c r="J12" s="308"/>
      <c r="K12" s="308"/>
      <c r="L12" s="308"/>
      <c r="M12" s="308"/>
      <c r="N12" s="308"/>
      <c r="O12" s="308"/>
      <c r="P12" s="308"/>
      <c r="Q12"/>
      <c r="R12" s="329" t="s">
        <v>511</v>
      </c>
      <c r="S12" s="330"/>
      <c r="T12" s="330"/>
      <c r="U12" s="330"/>
      <c r="V12" s="330"/>
      <c r="W12"/>
      <c r="X12"/>
      <c r="Y12"/>
      <c r="Z12"/>
      <c r="AA12"/>
      <c r="AB12"/>
      <c r="AC12"/>
      <c r="AD12"/>
      <c r="AE12"/>
      <c r="AF12"/>
      <c r="AG12"/>
      <c r="AH12"/>
      <c r="AI12"/>
      <c r="AJ12"/>
      <c r="AK12"/>
      <c r="AL12"/>
      <c r="AM12"/>
      <c r="AN12"/>
      <c r="AO12"/>
      <c r="AP12"/>
      <c r="AQ12"/>
      <c r="AR12"/>
      <c r="AS12"/>
      <c r="AT12"/>
      <c r="AU12"/>
      <c r="AV12"/>
      <c r="AW12"/>
      <c r="AX12"/>
      <c r="AY12"/>
      <c r="AZ12" s="14"/>
    </row>
    <row r="13" spans="1:52" ht="158.25" thickBot="1" x14ac:dyDescent="0.3">
      <c r="A13" s="1">
        <f>IF(A12&lt;'Project Information'!B$11,A12+1,"")</f>
        <v>2031</v>
      </c>
      <c r="B13" s="164">
        <f t="shared" si="0"/>
        <v>69349.458300000013</v>
      </c>
      <c r="E13" s="13"/>
      <c r="F13" s="232" t="s">
        <v>499</v>
      </c>
      <c r="G13" s="233" t="s">
        <v>500</v>
      </c>
      <c r="H13" s="234" t="s">
        <v>501</v>
      </c>
      <c r="I13" s="234"/>
      <c r="J13" s="234" t="s">
        <v>501</v>
      </c>
      <c r="K13" s="234" t="s">
        <v>502</v>
      </c>
      <c r="L13" s="234"/>
      <c r="M13" s="234" t="s">
        <v>503</v>
      </c>
      <c r="N13" s="234" t="s">
        <v>504</v>
      </c>
      <c r="O13" s="234" t="s">
        <v>505</v>
      </c>
      <c r="P13" s="235" t="s">
        <v>506</v>
      </c>
      <c r="Q13"/>
      <c r="R13" s="13"/>
      <c r="S13"/>
      <c r="T13" t="s">
        <v>512</v>
      </c>
      <c r="U13" t="s">
        <v>513</v>
      </c>
      <c r="V13" t="s">
        <v>514</v>
      </c>
      <c r="W13"/>
      <c r="X13"/>
      <c r="Y13"/>
      <c r="Z13"/>
      <c r="AA13"/>
      <c r="AB13"/>
      <c r="AC13"/>
      <c r="AD13"/>
      <c r="AE13"/>
      <c r="AF13"/>
      <c r="AG13"/>
      <c r="AH13"/>
      <c r="AI13"/>
      <c r="AJ13"/>
      <c r="AK13"/>
      <c r="AL13"/>
      <c r="AM13"/>
      <c r="AN13"/>
      <c r="AO13"/>
      <c r="AP13"/>
      <c r="AQ13"/>
      <c r="AR13"/>
      <c r="AS13"/>
      <c r="AT13"/>
      <c r="AU13"/>
      <c r="AV13"/>
      <c r="AW13"/>
      <c r="AX13"/>
      <c r="AY13"/>
      <c r="AZ13" s="14"/>
    </row>
    <row r="14" spans="1:52" ht="63.75" thickBot="1" x14ac:dyDescent="0.3">
      <c r="A14" s="1">
        <f>IF(A13&lt;'Project Information'!B$11,A13+1,"")</f>
        <v>2032</v>
      </c>
      <c r="B14" s="164">
        <f t="shared" si="0"/>
        <v>70042.95288300002</v>
      </c>
      <c r="E14" s="13"/>
      <c r="F14" s="241" t="s">
        <v>508</v>
      </c>
      <c r="G14" s="237">
        <v>100</v>
      </c>
      <c r="H14" s="238" t="s">
        <v>507</v>
      </c>
      <c r="I14" s="239">
        <v>0.11</v>
      </c>
      <c r="J14" s="239">
        <f>5*I14</f>
        <v>0.55000000000000004</v>
      </c>
      <c r="K14" s="238">
        <v>10</v>
      </c>
      <c r="L14" s="239">
        <v>0.1</v>
      </c>
      <c r="M14" s="239">
        <f>K14*L14</f>
        <v>1</v>
      </c>
      <c r="N14" s="239">
        <f>J14+M14</f>
        <v>1.55</v>
      </c>
      <c r="O14" s="238">
        <v>0.86</v>
      </c>
      <c r="P14" s="240">
        <v>340</v>
      </c>
      <c r="Q14"/>
      <c r="R14" s="13">
        <v>0</v>
      </c>
      <c r="S14" t="s">
        <v>515</v>
      </c>
      <c r="T14">
        <v>0</v>
      </c>
      <c r="U14">
        <v>0</v>
      </c>
      <c r="V14"/>
      <c r="W14"/>
      <c r="X14"/>
      <c r="Y14"/>
      <c r="Z14"/>
      <c r="AA14"/>
      <c r="AB14"/>
      <c r="AC14"/>
      <c r="AD14"/>
      <c r="AE14"/>
      <c r="AF14"/>
      <c r="AG14"/>
      <c r="AH14"/>
      <c r="AI14"/>
      <c r="AJ14"/>
      <c r="AK14"/>
      <c r="AL14"/>
      <c r="AM14"/>
      <c r="AN14"/>
      <c r="AO14"/>
      <c r="AP14"/>
      <c r="AQ14"/>
      <c r="AR14"/>
      <c r="AS14"/>
      <c r="AT14"/>
      <c r="AU14"/>
      <c r="AV14"/>
      <c r="AW14"/>
      <c r="AX14"/>
      <c r="AY14"/>
      <c r="AZ14" s="14"/>
    </row>
    <row r="15" spans="1:52" ht="63.75" thickBot="1" x14ac:dyDescent="0.3">
      <c r="A15" s="1">
        <f>IF(A14&lt;'Project Information'!B$11,A14+1,"")</f>
        <v>2033</v>
      </c>
      <c r="B15" s="164">
        <f t="shared" si="0"/>
        <v>70743.382411830025</v>
      </c>
      <c r="E15" s="13"/>
      <c r="F15" s="242" t="s">
        <v>509</v>
      </c>
      <c r="G15" s="243">
        <v>50</v>
      </c>
      <c r="H15" s="228" t="s">
        <v>507</v>
      </c>
      <c r="I15" s="244">
        <v>0.11</v>
      </c>
      <c r="J15" s="244">
        <f>5*0.11</f>
        <v>0.55000000000000004</v>
      </c>
      <c r="K15" s="228">
        <v>10</v>
      </c>
      <c r="L15" s="244">
        <v>0.1</v>
      </c>
      <c r="M15" s="244">
        <f>K15*L15</f>
        <v>1</v>
      </c>
      <c r="N15" s="244">
        <f>J15+M15</f>
        <v>1.55</v>
      </c>
      <c r="O15" s="228">
        <v>0.86</v>
      </c>
      <c r="P15" s="245">
        <v>340</v>
      </c>
      <c r="Q15"/>
      <c r="R15" s="13">
        <v>0</v>
      </c>
      <c r="S15" t="s">
        <v>516</v>
      </c>
      <c r="T15">
        <v>0</v>
      </c>
      <c r="U15">
        <v>0</v>
      </c>
      <c r="V15"/>
      <c r="W15"/>
      <c r="X15"/>
      <c r="Y15"/>
      <c r="Z15"/>
      <c r="AA15"/>
      <c r="AB15"/>
      <c r="AC15"/>
      <c r="AD15"/>
      <c r="AE15"/>
      <c r="AF15"/>
      <c r="AG15"/>
      <c r="AH15"/>
      <c r="AI15"/>
      <c r="AJ15"/>
      <c r="AK15"/>
      <c r="AL15"/>
      <c r="AM15"/>
      <c r="AN15"/>
      <c r="AO15"/>
      <c r="AP15"/>
      <c r="AQ15"/>
      <c r="AR15"/>
      <c r="AS15"/>
      <c r="AT15"/>
      <c r="AU15"/>
      <c r="AV15"/>
      <c r="AW15"/>
      <c r="AX15"/>
      <c r="AY15"/>
      <c r="AZ15" s="14"/>
    </row>
    <row r="16" spans="1:52" ht="71.25" customHeight="1" x14ac:dyDescent="0.25">
      <c r="A16" s="1">
        <f>IF(A15&lt;'Project Information'!B$11,A15+1,"")</f>
        <v>2034</v>
      </c>
      <c r="B16" s="164">
        <f t="shared" si="0"/>
        <v>71450.816235948325</v>
      </c>
      <c r="E16" s="13"/>
      <c r="F16" s="309" t="s">
        <v>543</v>
      </c>
      <c r="G16" s="310"/>
      <c r="H16" s="310"/>
      <c r="I16" s="310"/>
      <c r="J16" s="310"/>
      <c r="K16" s="310"/>
      <c r="L16" s="310"/>
      <c r="M16" s="310"/>
      <c r="N16" s="310"/>
      <c r="O16" s="310"/>
      <c r="P16" s="310"/>
      <c r="Q16"/>
      <c r="R16" s="13">
        <v>0</v>
      </c>
      <c r="S16" t="s">
        <v>517</v>
      </c>
      <c r="T16">
        <v>0</v>
      </c>
      <c r="U16">
        <v>0</v>
      </c>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25">
      <c r="A17" s="1">
        <f>IF(A16&lt;'Project Information'!B$11,A16+1,"")</f>
        <v>2035</v>
      </c>
      <c r="B17" s="164">
        <f t="shared" si="0"/>
        <v>72165.324398307814</v>
      </c>
      <c r="E17" s="13"/>
      <c r="F17"/>
      <c r="G17"/>
      <c r="H17"/>
      <c r="I17"/>
      <c r="J17"/>
      <c r="K17"/>
      <c r="L17"/>
      <c r="M17"/>
      <c r="N17"/>
      <c r="O17"/>
      <c r="P17"/>
      <c r="Q17"/>
      <c r="R17" s="13">
        <v>1</v>
      </c>
      <c r="S17">
        <v>2029</v>
      </c>
      <c r="T17" s="177">
        <f>(G14*O14*N14)*P14</f>
        <v>45322.000000000007</v>
      </c>
      <c r="U17" s="177">
        <f>(G15*O15*N15)*P15</f>
        <v>22661.000000000004</v>
      </c>
      <c r="V17" s="177">
        <f t="shared" ref="V17:V36" si="1">SUM(T17:U17)</f>
        <v>67983.000000000015</v>
      </c>
      <c r="W17"/>
      <c r="X17"/>
      <c r="Y17"/>
      <c r="Z17"/>
      <c r="AA17"/>
      <c r="AB17"/>
      <c r="AC17"/>
      <c r="AD17"/>
      <c r="AE17"/>
      <c r="AF17"/>
      <c r="AG17"/>
      <c r="AH17"/>
      <c r="AI17"/>
      <c r="AJ17"/>
      <c r="AK17"/>
      <c r="AL17"/>
      <c r="AM17"/>
      <c r="AN17"/>
      <c r="AO17"/>
      <c r="AP17"/>
      <c r="AQ17"/>
      <c r="AR17"/>
      <c r="AS17"/>
      <c r="AT17"/>
      <c r="AU17"/>
      <c r="AV17"/>
      <c r="AW17"/>
      <c r="AX17"/>
      <c r="AY17"/>
      <c r="AZ17" s="14"/>
    </row>
    <row r="18" spans="1:52" x14ac:dyDescent="0.25">
      <c r="A18" s="1">
        <f>IF(A17&lt;'Project Information'!B$11,A17+1,"")</f>
        <v>2036</v>
      </c>
      <c r="B18" s="164">
        <f t="shared" si="0"/>
        <v>72886.977642290891</v>
      </c>
      <c r="E18" s="13"/>
      <c r="F18"/>
      <c r="G18"/>
      <c r="H18"/>
      <c r="I18"/>
      <c r="J18"/>
      <c r="K18"/>
      <c r="L18"/>
      <c r="M18"/>
      <c r="N18"/>
      <c r="O18"/>
      <c r="P18"/>
      <c r="Q18"/>
      <c r="R18" s="13">
        <v>2</v>
      </c>
      <c r="S18">
        <v>2030</v>
      </c>
      <c r="T18" s="177">
        <f t="shared" ref="T18:U33" si="2">T17*1.01</f>
        <v>45775.220000000008</v>
      </c>
      <c r="U18" s="177">
        <f t="shared" si="2"/>
        <v>22887.610000000004</v>
      </c>
      <c r="V18" s="177">
        <f t="shared" si="1"/>
        <v>68662.830000000016</v>
      </c>
      <c r="W18"/>
      <c r="X18"/>
      <c r="Y18"/>
      <c r="Z18"/>
      <c r="AA18"/>
      <c r="AB18"/>
      <c r="AC18"/>
      <c r="AD18"/>
      <c r="AE18"/>
      <c r="AF18"/>
      <c r="AG18"/>
      <c r="AH18"/>
      <c r="AI18"/>
      <c r="AJ18"/>
      <c r="AK18"/>
      <c r="AL18"/>
      <c r="AM18"/>
      <c r="AN18"/>
      <c r="AO18"/>
      <c r="AP18"/>
      <c r="AQ18"/>
      <c r="AR18"/>
      <c r="AS18"/>
      <c r="AT18"/>
      <c r="AU18"/>
      <c r="AV18"/>
      <c r="AW18"/>
      <c r="AX18"/>
      <c r="AY18"/>
      <c r="AZ18" s="14"/>
    </row>
    <row r="19" spans="1:52" x14ac:dyDescent="0.25">
      <c r="A19" s="1">
        <f>IF(A18&lt;'Project Information'!B$11,A18+1,"")</f>
        <v>2037</v>
      </c>
      <c r="B19" s="164">
        <f t="shared" si="0"/>
        <v>73615.847418713791</v>
      </c>
      <c r="E19" s="13"/>
      <c r="F19"/>
      <c r="G19"/>
      <c r="H19"/>
      <c r="I19"/>
      <c r="J19"/>
      <c r="K19"/>
      <c r="L19"/>
      <c r="M19"/>
      <c r="N19"/>
      <c r="O19"/>
      <c r="P19"/>
      <c r="Q19"/>
      <c r="R19" s="13">
        <v>3</v>
      </c>
      <c r="S19">
        <v>2031</v>
      </c>
      <c r="T19" s="177">
        <f t="shared" si="2"/>
        <v>46232.972200000011</v>
      </c>
      <c r="U19" s="177">
        <f t="shared" si="2"/>
        <v>23116.486100000006</v>
      </c>
      <c r="V19" s="177">
        <f t="shared" si="1"/>
        <v>69349.458300000013</v>
      </c>
      <c r="W19"/>
      <c r="X19"/>
      <c r="Y19"/>
      <c r="Z19"/>
      <c r="AA19"/>
      <c r="AB19"/>
      <c r="AC19"/>
      <c r="AD19"/>
      <c r="AE19"/>
      <c r="AF19"/>
      <c r="AG19"/>
      <c r="AH19"/>
      <c r="AI19"/>
      <c r="AJ19"/>
      <c r="AK19"/>
      <c r="AL19"/>
      <c r="AM19"/>
      <c r="AN19"/>
      <c r="AO19"/>
      <c r="AP19"/>
      <c r="AQ19"/>
      <c r="AR19"/>
      <c r="AS19"/>
      <c r="AT19"/>
      <c r="AU19"/>
      <c r="AV19"/>
      <c r="AW19"/>
      <c r="AX19"/>
      <c r="AY19"/>
      <c r="AZ19" s="14"/>
    </row>
    <row r="20" spans="1:52" x14ac:dyDescent="0.25">
      <c r="A20" s="1">
        <f>IF(A19&lt;'Project Information'!B$11,A19+1,"")</f>
        <v>2038</v>
      </c>
      <c r="B20" s="164">
        <f t="shared" si="0"/>
        <v>74352.005892900925</v>
      </c>
      <c r="E20" s="13"/>
      <c r="F20"/>
      <c r="G20"/>
      <c r="H20"/>
      <c r="I20"/>
      <c r="J20"/>
      <c r="K20"/>
      <c r="L20"/>
      <c r="M20"/>
      <c r="N20"/>
      <c r="O20"/>
      <c r="P20"/>
      <c r="Q20"/>
      <c r="R20" s="13">
        <v>4</v>
      </c>
      <c r="S20">
        <v>2032</v>
      </c>
      <c r="T20" s="177">
        <f t="shared" si="2"/>
        <v>46695.301922000013</v>
      </c>
      <c r="U20" s="177">
        <f t="shared" si="2"/>
        <v>23347.650961000007</v>
      </c>
      <c r="V20" s="177">
        <f t="shared" si="1"/>
        <v>70042.95288300002</v>
      </c>
      <c r="W20"/>
      <c r="X20"/>
      <c r="Y20"/>
      <c r="Z20"/>
      <c r="AA20"/>
      <c r="AB20"/>
      <c r="AC20"/>
      <c r="AD20"/>
      <c r="AE20"/>
      <c r="AF20"/>
      <c r="AG20"/>
      <c r="AH20"/>
      <c r="AI20"/>
      <c r="AJ20"/>
      <c r="AK20"/>
      <c r="AL20"/>
      <c r="AM20"/>
      <c r="AN20"/>
      <c r="AO20"/>
      <c r="AP20"/>
      <c r="AQ20"/>
      <c r="AR20"/>
      <c r="AS20"/>
      <c r="AT20"/>
      <c r="AU20"/>
      <c r="AV20"/>
      <c r="AW20"/>
      <c r="AX20"/>
      <c r="AY20"/>
      <c r="AZ20" s="14"/>
    </row>
    <row r="21" spans="1:52" x14ac:dyDescent="0.25">
      <c r="A21" s="1">
        <f>IF(A20&lt;'Project Information'!B$11,A20+1,"")</f>
        <v>2039</v>
      </c>
      <c r="B21" s="164">
        <f t="shared" si="0"/>
        <v>75095.525951829943</v>
      </c>
      <c r="E21" s="13"/>
      <c r="F21"/>
      <c r="G21"/>
      <c r="H21"/>
      <c r="I21"/>
      <c r="J21"/>
      <c r="K21"/>
      <c r="L21"/>
      <c r="M21"/>
      <c r="N21"/>
      <c r="O21"/>
      <c r="P21"/>
      <c r="Q21"/>
      <c r="R21" s="13">
        <v>5</v>
      </c>
      <c r="S21">
        <v>2033</v>
      </c>
      <c r="T21" s="177">
        <f t="shared" si="2"/>
        <v>47162.254941220017</v>
      </c>
      <c r="U21" s="177">
        <f t="shared" si="2"/>
        <v>23581.127470610008</v>
      </c>
      <c r="V21" s="177">
        <f t="shared" si="1"/>
        <v>70743.382411830025</v>
      </c>
      <c r="W21"/>
      <c r="X21"/>
      <c r="Y21"/>
      <c r="Z21"/>
      <c r="AA21"/>
      <c r="AB21"/>
      <c r="AC21"/>
      <c r="AD21"/>
      <c r="AE21"/>
      <c r="AF21"/>
      <c r="AG21"/>
      <c r="AH21"/>
      <c r="AI21"/>
      <c r="AJ21"/>
      <c r="AK21"/>
      <c r="AL21"/>
      <c r="AM21"/>
      <c r="AN21"/>
      <c r="AO21"/>
      <c r="AP21"/>
      <c r="AQ21"/>
      <c r="AR21"/>
      <c r="AS21"/>
      <c r="AT21"/>
      <c r="AU21"/>
      <c r="AV21"/>
      <c r="AW21"/>
      <c r="AX21"/>
      <c r="AY21"/>
      <c r="AZ21" s="14"/>
    </row>
    <row r="22" spans="1:52" x14ac:dyDescent="0.25">
      <c r="A22" s="1">
        <f>IF(A21&lt;'Project Information'!B$11,A21+1,"")</f>
        <v>2040</v>
      </c>
      <c r="B22" s="164">
        <f t="shared" si="0"/>
        <v>75846.481211348248</v>
      </c>
      <c r="E22" s="13"/>
      <c r="F22"/>
      <c r="G22"/>
      <c r="H22"/>
      <c r="I22"/>
      <c r="J22"/>
      <c r="K22"/>
      <c r="L22"/>
      <c r="M22"/>
      <c r="N22"/>
      <c r="O22"/>
      <c r="P22"/>
      <c r="Q22"/>
      <c r="R22" s="13">
        <v>6</v>
      </c>
      <c r="S22">
        <v>2034</v>
      </c>
      <c r="T22" s="177">
        <f t="shared" si="2"/>
        <v>47633.877490632214</v>
      </c>
      <c r="U22" s="177">
        <f t="shared" si="2"/>
        <v>23816.938745316107</v>
      </c>
      <c r="V22" s="177">
        <f t="shared" si="1"/>
        <v>71450.816235948325</v>
      </c>
      <c r="W22"/>
      <c r="X22"/>
      <c r="Y22"/>
      <c r="Z22"/>
      <c r="AA22"/>
      <c r="AB22"/>
      <c r="AC22"/>
      <c r="AD22"/>
      <c r="AE22"/>
      <c r="AF22"/>
      <c r="AG22"/>
      <c r="AH22"/>
      <c r="AI22"/>
      <c r="AJ22"/>
      <c r="AK22"/>
      <c r="AL22"/>
      <c r="AM22"/>
      <c r="AN22"/>
      <c r="AO22"/>
      <c r="AP22"/>
      <c r="AQ22"/>
      <c r="AR22"/>
      <c r="AS22"/>
      <c r="AT22"/>
      <c r="AU22"/>
      <c r="AV22"/>
      <c r="AW22"/>
      <c r="AX22"/>
      <c r="AY22"/>
      <c r="AZ22" s="14"/>
    </row>
    <row r="23" spans="1:52" x14ac:dyDescent="0.25">
      <c r="A23" s="1">
        <f>IF(A22&lt;'Project Information'!B$11,A22+1,"")</f>
        <v>2041</v>
      </c>
      <c r="B23" s="164">
        <f t="shared" si="0"/>
        <v>76604.946023461729</v>
      </c>
      <c r="E23" s="13"/>
      <c r="F23"/>
      <c r="G23"/>
      <c r="H23"/>
      <c r="I23"/>
      <c r="J23"/>
      <c r="K23"/>
      <c r="L23"/>
      <c r="M23"/>
      <c r="N23"/>
      <c r="O23"/>
      <c r="P23"/>
      <c r="Q23"/>
      <c r="R23" s="13">
        <v>7</v>
      </c>
      <c r="S23">
        <v>2035</v>
      </c>
      <c r="T23" s="177">
        <f t="shared" si="2"/>
        <v>48110.21626553854</v>
      </c>
      <c r="U23" s="177">
        <f t="shared" si="2"/>
        <v>24055.10813276927</v>
      </c>
      <c r="V23" s="177">
        <f t="shared" si="1"/>
        <v>72165.324398307814</v>
      </c>
      <c r="W23"/>
      <c r="X23"/>
      <c r="Y23"/>
      <c r="Z23"/>
      <c r="AA23"/>
      <c r="AB23"/>
      <c r="AC23"/>
      <c r="AD23"/>
      <c r="AE23"/>
      <c r="AF23"/>
      <c r="AG23"/>
      <c r="AH23"/>
      <c r="AI23"/>
      <c r="AJ23"/>
      <c r="AK23"/>
      <c r="AL23"/>
      <c r="AM23"/>
      <c r="AN23"/>
      <c r="AO23"/>
      <c r="AP23"/>
      <c r="AQ23"/>
      <c r="AR23"/>
      <c r="AS23"/>
      <c r="AT23"/>
      <c r="AU23"/>
      <c r="AV23"/>
      <c r="AW23"/>
      <c r="AX23"/>
      <c r="AY23"/>
      <c r="AZ23" s="14"/>
    </row>
    <row r="24" spans="1:52" x14ac:dyDescent="0.25">
      <c r="A24" s="1">
        <f>IF(A23&lt;'Project Information'!B$11,A23+1,"")</f>
        <v>2042</v>
      </c>
      <c r="B24" s="164">
        <f t="shared" si="0"/>
        <v>77370.995483696344</v>
      </c>
      <c r="E24" s="13"/>
      <c r="F24"/>
      <c r="G24"/>
      <c r="H24"/>
      <c r="I24"/>
      <c r="J24"/>
      <c r="K24"/>
      <c r="L24"/>
      <c r="M24"/>
      <c r="N24"/>
      <c r="O24"/>
      <c r="P24"/>
      <c r="Q24"/>
      <c r="R24" s="13">
        <v>8</v>
      </c>
      <c r="S24">
        <v>2036</v>
      </c>
      <c r="T24" s="177">
        <f t="shared" si="2"/>
        <v>48591.318428193925</v>
      </c>
      <c r="U24" s="177">
        <f t="shared" si="2"/>
        <v>24295.659214096962</v>
      </c>
      <c r="V24" s="177">
        <f t="shared" si="1"/>
        <v>72886.977642290891</v>
      </c>
      <c r="W24"/>
      <c r="X24"/>
      <c r="Y24"/>
      <c r="Z24"/>
      <c r="AA24"/>
      <c r="AB24"/>
      <c r="AC24"/>
      <c r="AD24"/>
      <c r="AE24"/>
      <c r="AF24"/>
      <c r="AG24"/>
      <c r="AH24"/>
      <c r="AI24"/>
      <c r="AJ24"/>
      <c r="AK24"/>
      <c r="AL24"/>
      <c r="AM24"/>
      <c r="AN24"/>
      <c r="AO24"/>
      <c r="AP24"/>
      <c r="AQ24"/>
      <c r="AR24"/>
      <c r="AS24"/>
      <c r="AT24"/>
      <c r="AU24"/>
      <c r="AV24"/>
      <c r="AW24"/>
      <c r="AX24"/>
      <c r="AY24"/>
      <c r="AZ24" s="14"/>
    </row>
    <row r="25" spans="1:52" x14ac:dyDescent="0.25">
      <c r="A25" s="1">
        <f>IF(A24&lt;'Project Information'!B$11,A24+1,"")</f>
        <v>2043</v>
      </c>
      <c r="B25" s="164">
        <f t="shared" si="0"/>
        <v>78144.705438533303</v>
      </c>
      <c r="E25" s="13"/>
      <c r="F25"/>
      <c r="G25"/>
      <c r="H25"/>
      <c r="I25"/>
      <c r="J25"/>
      <c r="K25"/>
      <c r="L25"/>
      <c r="M25"/>
      <c r="N25"/>
      <c r="O25"/>
      <c r="P25"/>
      <c r="Q25"/>
      <c r="R25" s="13">
        <v>9</v>
      </c>
      <c r="S25">
        <v>2037</v>
      </c>
      <c r="T25" s="177">
        <f t="shared" si="2"/>
        <v>49077.231612475865</v>
      </c>
      <c r="U25" s="177">
        <f t="shared" si="2"/>
        <v>24538.615806237933</v>
      </c>
      <c r="V25" s="177">
        <f t="shared" si="1"/>
        <v>73615.847418713791</v>
      </c>
      <c r="W25"/>
      <c r="X25"/>
      <c r="Y25"/>
      <c r="Z25"/>
      <c r="AA25"/>
      <c r="AB25"/>
      <c r="AC25"/>
      <c r="AD25"/>
      <c r="AE25"/>
      <c r="AF25"/>
      <c r="AG25"/>
      <c r="AH25"/>
      <c r="AI25"/>
      <c r="AJ25"/>
      <c r="AK25"/>
      <c r="AL25"/>
      <c r="AM25"/>
      <c r="AN25"/>
      <c r="AO25"/>
      <c r="AP25"/>
      <c r="AQ25"/>
      <c r="AR25"/>
      <c r="AS25"/>
      <c r="AT25"/>
      <c r="AU25"/>
      <c r="AV25"/>
      <c r="AW25"/>
      <c r="AX25"/>
      <c r="AY25"/>
      <c r="AZ25" s="14"/>
    </row>
    <row r="26" spans="1:52" x14ac:dyDescent="0.25">
      <c r="A26" s="1">
        <f>IF(A25&lt;'Project Information'!B$11,A25+1,"")</f>
        <v>2044</v>
      </c>
      <c r="B26" s="164">
        <f t="shared" si="0"/>
        <v>78926.152492918642</v>
      </c>
      <c r="E26" s="13"/>
      <c r="F26"/>
      <c r="G26"/>
      <c r="H26"/>
      <c r="I26"/>
      <c r="J26"/>
      <c r="K26"/>
      <c r="L26"/>
      <c r="M26"/>
      <c r="N26"/>
      <c r="O26"/>
      <c r="P26"/>
      <c r="Q26"/>
      <c r="R26" s="13">
        <v>10</v>
      </c>
      <c r="S26">
        <v>2038</v>
      </c>
      <c r="T26" s="177">
        <f t="shared" si="2"/>
        <v>49568.003928600621</v>
      </c>
      <c r="U26" s="177">
        <f t="shared" si="2"/>
        <v>24784.001964300311</v>
      </c>
      <c r="V26" s="177">
        <f t="shared" si="1"/>
        <v>74352.005892900925</v>
      </c>
      <c r="W26"/>
      <c r="X26"/>
      <c r="Y26"/>
      <c r="Z26"/>
      <c r="AA26"/>
      <c r="AB26"/>
      <c r="AC26"/>
      <c r="AD26"/>
      <c r="AE26"/>
      <c r="AF26"/>
      <c r="AG26"/>
      <c r="AH26"/>
      <c r="AI26"/>
      <c r="AJ26"/>
      <c r="AK26"/>
      <c r="AL26"/>
      <c r="AM26"/>
      <c r="AN26"/>
      <c r="AO26"/>
      <c r="AP26"/>
      <c r="AQ26"/>
      <c r="AR26"/>
      <c r="AS26"/>
      <c r="AT26"/>
      <c r="AU26"/>
      <c r="AV26"/>
      <c r="AW26"/>
      <c r="AX26"/>
      <c r="AY26"/>
      <c r="AZ26" s="14"/>
    </row>
    <row r="27" spans="1:52" x14ac:dyDescent="0.25">
      <c r="A27" s="1">
        <f>IF(A26&lt;'Project Information'!B$11,A26+1,"")</f>
        <v>2045</v>
      </c>
      <c r="B27" s="164">
        <f t="shared" si="0"/>
        <v>79715.414017847826</v>
      </c>
      <c r="E27" s="13"/>
      <c r="F27"/>
      <c r="G27"/>
      <c r="H27"/>
      <c r="I27"/>
      <c r="J27"/>
      <c r="K27"/>
      <c r="L27"/>
      <c r="M27"/>
      <c r="N27"/>
      <c r="O27"/>
      <c r="P27"/>
      <c r="Q27"/>
      <c r="R27" s="13">
        <v>11</v>
      </c>
      <c r="S27">
        <v>2039</v>
      </c>
      <c r="T27" s="177">
        <f t="shared" si="2"/>
        <v>50063.683967886631</v>
      </c>
      <c r="U27" s="177">
        <f t="shared" si="2"/>
        <v>25031.841983943315</v>
      </c>
      <c r="V27" s="177">
        <f t="shared" si="1"/>
        <v>75095.525951829943</v>
      </c>
      <c r="W27"/>
      <c r="X27"/>
      <c r="Y27"/>
      <c r="Z27"/>
      <c r="AA27"/>
      <c r="AB27"/>
      <c r="AC27"/>
      <c r="AD27"/>
      <c r="AE27"/>
      <c r="AF27"/>
      <c r="AG27"/>
      <c r="AH27"/>
      <c r="AI27"/>
      <c r="AJ27"/>
      <c r="AK27"/>
      <c r="AL27"/>
      <c r="AM27"/>
      <c r="AN27"/>
      <c r="AO27"/>
      <c r="AP27"/>
      <c r="AQ27"/>
      <c r="AR27"/>
      <c r="AS27"/>
      <c r="AT27"/>
      <c r="AU27"/>
      <c r="AV27"/>
      <c r="AW27"/>
      <c r="AX27"/>
      <c r="AY27"/>
      <c r="AZ27" s="14"/>
    </row>
    <row r="28" spans="1:52" x14ac:dyDescent="0.25">
      <c r="A28" s="1">
        <f>IF(A27&lt;'Project Information'!B$11,A27+1,"")</f>
        <v>2046</v>
      </c>
      <c r="B28" s="164">
        <f t="shared" si="0"/>
        <v>80512.568158026319</v>
      </c>
      <c r="E28" s="13"/>
      <c r="F28"/>
      <c r="G28"/>
      <c r="H28"/>
      <c r="I28"/>
      <c r="J28"/>
      <c r="K28"/>
      <c r="L28"/>
      <c r="M28"/>
      <c r="N28"/>
      <c r="O28"/>
      <c r="P28"/>
      <c r="Q28"/>
      <c r="R28" s="13">
        <v>12</v>
      </c>
      <c r="S28">
        <v>2040</v>
      </c>
      <c r="T28" s="177">
        <f t="shared" si="2"/>
        <v>50564.320807565498</v>
      </c>
      <c r="U28" s="177">
        <f t="shared" si="2"/>
        <v>25282.160403782749</v>
      </c>
      <c r="V28" s="177">
        <f t="shared" si="1"/>
        <v>75846.481211348248</v>
      </c>
      <c r="W28"/>
      <c r="X28"/>
      <c r="Y28"/>
      <c r="Z28"/>
      <c r="AA28"/>
      <c r="AB28"/>
      <c r="AC28"/>
      <c r="AD28"/>
      <c r="AE28"/>
      <c r="AF28"/>
      <c r="AG28"/>
      <c r="AH28"/>
      <c r="AI28"/>
      <c r="AJ28"/>
      <c r="AK28"/>
      <c r="AL28"/>
      <c r="AM28"/>
      <c r="AN28"/>
      <c r="AO28"/>
      <c r="AP28"/>
      <c r="AQ28"/>
      <c r="AR28"/>
      <c r="AS28"/>
      <c r="AT28"/>
      <c r="AU28"/>
      <c r="AV28"/>
      <c r="AW28"/>
      <c r="AX28"/>
      <c r="AY28"/>
      <c r="AZ28" s="14"/>
    </row>
    <row r="29" spans="1:52" x14ac:dyDescent="0.25">
      <c r="A29" s="1">
        <f>IF(A28&lt;'Project Information'!B$11,A28+1,"")</f>
        <v>2047</v>
      </c>
      <c r="B29" s="164">
        <f t="shared" si="0"/>
        <v>81317.693839606582</v>
      </c>
      <c r="E29" s="13"/>
      <c r="F29"/>
      <c r="G29"/>
      <c r="H29"/>
      <c r="I29"/>
      <c r="J29"/>
      <c r="K29"/>
      <c r="L29"/>
      <c r="M29"/>
      <c r="N29"/>
      <c r="O29"/>
      <c r="P29"/>
      <c r="Q29"/>
      <c r="R29" s="13">
        <v>13</v>
      </c>
      <c r="S29">
        <v>2041</v>
      </c>
      <c r="T29" s="177">
        <f t="shared" si="2"/>
        <v>51069.964015641155</v>
      </c>
      <c r="U29" s="177">
        <f t="shared" si="2"/>
        <v>25534.982007820578</v>
      </c>
      <c r="V29" s="177">
        <f t="shared" si="1"/>
        <v>76604.946023461729</v>
      </c>
      <c r="W29"/>
      <c r="X29"/>
      <c r="Y29"/>
      <c r="Z29"/>
      <c r="AA29"/>
      <c r="AB29"/>
      <c r="AC29"/>
      <c r="AD29"/>
      <c r="AE29"/>
      <c r="AF29"/>
      <c r="AG29"/>
      <c r="AH29"/>
      <c r="AI29"/>
      <c r="AJ29"/>
      <c r="AK29"/>
      <c r="AL29"/>
      <c r="AM29"/>
      <c r="AN29"/>
      <c r="AO29"/>
      <c r="AP29"/>
      <c r="AQ29"/>
      <c r="AR29"/>
      <c r="AS29"/>
      <c r="AT29"/>
      <c r="AU29"/>
      <c r="AV29"/>
      <c r="AW29"/>
      <c r="AX29"/>
      <c r="AY29"/>
      <c r="AZ29" s="14"/>
    </row>
    <row r="30" spans="1:52" x14ac:dyDescent="0.25">
      <c r="A30" s="1">
        <f>IF(A29&lt;'Project Information'!B$11,A29+1,"")</f>
        <v>2048</v>
      </c>
      <c r="B30" s="164">
        <f t="shared" si="0"/>
        <v>82130.870778002645</v>
      </c>
      <c r="E30" s="13"/>
      <c r="F30"/>
      <c r="G30"/>
      <c r="H30"/>
      <c r="I30"/>
      <c r="J30"/>
      <c r="K30"/>
      <c r="L30"/>
      <c r="M30"/>
      <c r="N30"/>
      <c r="O30"/>
      <c r="P30"/>
      <c r="Q30"/>
      <c r="R30" s="13">
        <v>14</v>
      </c>
      <c r="S30">
        <v>2042</v>
      </c>
      <c r="T30" s="177">
        <f t="shared" si="2"/>
        <v>51580.663655797565</v>
      </c>
      <c r="U30" s="177">
        <f t="shared" si="2"/>
        <v>25790.331827898783</v>
      </c>
      <c r="V30" s="177">
        <f t="shared" si="1"/>
        <v>77370.995483696344</v>
      </c>
      <c r="W30"/>
      <c r="X30"/>
      <c r="Y30"/>
      <c r="Z30"/>
      <c r="AA30"/>
      <c r="AB30"/>
      <c r="AC30"/>
      <c r="AD30"/>
      <c r="AE30"/>
      <c r="AF30"/>
      <c r="AG30"/>
      <c r="AH30"/>
      <c r="AI30"/>
      <c r="AJ30"/>
      <c r="AK30"/>
      <c r="AL30"/>
      <c r="AM30"/>
      <c r="AN30"/>
      <c r="AO30"/>
      <c r="AP30"/>
      <c r="AQ30"/>
      <c r="AR30"/>
      <c r="AS30"/>
      <c r="AT30"/>
      <c r="AU30"/>
      <c r="AV30"/>
      <c r="AW30"/>
      <c r="AX30"/>
      <c r="AY30"/>
      <c r="AZ30" s="14"/>
    </row>
    <row r="31" spans="1:52" x14ac:dyDescent="0.25">
      <c r="A31" s="1" t="str">
        <f>IF(A30&lt;'Project Information'!B$11,A30+1,"")</f>
        <v/>
      </c>
      <c r="B31" s="164">
        <v>0</v>
      </c>
      <c r="E31" s="13"/>
      <c r="F31"/>
      <c r="G31"/>
      <c r="H31"/>
      <c r="I31"/>
      <c r="J31"/>
      <c r="K31"/>
      <c r="L31"/>
      <c r="M31"/>
      <c r="N31"/>
      <c r="O31"/>
      <c r="P31"/>
      <c r="Q31"/>
      <c r="R31" s="13">
        <v>15</v>
      </c>
      <c r="S31">
        <v>2043</v>
      </c>
      <c r="T31" s="177">
        <f t="shared" si="2"/>
        <v>52096.470292355538</v>
      </c>
      <c r="U31" s="177">
        <f t="shared" si="2"/>
        <v>26048.235146177769</v>
      </c>
      <c r="V31" s="177">
        <f t="shared" si="1"/>
        <v>78144.705438533303</v>
      </c>
      <c r="W31"/>
      <c r="X31"/>
      <c r="Y31"/>
      <c r="Z31"/>
      <c r="AA31"/>
      <c r="AB31"/>
      <c r="AC31"/>
      <c r="AD31"/>
      <c r="AE31"/>
      <c r="AF31"/>
      <c r="AG31"/>
      <c r="AH31"/>
      <c r="AI31"/>
      <c r="AJ31"/>
      <c r="AK31"/>
      <c r="AL31"/>
      <c r="AM31"/>
      <c r="AN31"/>
      <c r="AO31"/>
      <c r="AP31"/>
      <c r="AQ31"/>
      <c r="AR31"/>
      <c r="AS31"/>
      <c r="AT31"/>
      <c r="AU31"/>
      <c r="AV31"/>
      <c r="AW31"/>
      <c r="AX31"/>
      <c r="AY31"/>
      <c r="AZ31" s="14"/>
    </row>
    <row r="32" spans="1:52" x14ac:dyDescent="0.25">
      <c r="A32" s="1" t="str">
        <f>IF(A31&lt;'Project Information'!B$11,A31+1,"")</f>
        <v/>
      </c>
      <c r="B32" s="164">
        <v>0</v>
      </c>
      <c r="E32" s="13"/>
      <c r="F32"/>
      <c r="G32"/>
      <c r="H32"/>
      <c r="I32"/>
      <c r="J32"/>
      <c r="K32"/>
      <c r="L32"/>
      <c r="M32"/>
      <c r="N32"/>
      <c r="O32"/>
      <c r="P32"/>
      <c r="Q32"/>
      <c r="R32" s="13">
        <v>16</v>
      </c>
      <c r="S32">
        <v>2044</v>
      </c>
      <c r="T32" s="177">
        <f t="shared" si="2"/>
        <v>52617.434995279094</v>
      </c>
      <c r="U32" s="177">
        <f t="shared" si="2"/>
        <v>26308.717497639547</v>
      </c>
      <c r="V32" s="177">
        <f t="shared" si="1"/>
        <v>78926.152492918642</v>
      </c>
      <c r="W32"/>
      <c r="X32"/>
      <c r="Y32"/>
      <c r="Z32"/>
      <c r="AA32"/>
      <c r="AB32"/>
      <c r="AC32"/>
      <c r="AD32"/>
      <c r="AE32"/>
      <c r="AF32"/>
      <c r="AG32"/>
      <c r="AH32"/>
      <c r="AI32"/>
      <c r="AJ32"/>
      <c r="AK32"/>
      <c r="AL32"/>
      <c r="AM32"/>
      <c r="AN32"/>
      <c r="AO32"/>
      <c r="AP32"/>
      <c r="AQ32"/>
      <c r="AR32"/>
      <c r="AS32"/>
      <c r="AT32"/>
      <c r="AU32"/>
      <c r="AV32"/>
      <c r="AW32"/>
      <c r="AX32"/>
      <c r="AY32"/>
      <c r="AZ32" s="14"/>
    </row>
    <row r="33" spans="1:52" x14ac:dyDescent="0.25">
      <c r="A33" s="1" t="str">
        <f>IF(A32&lt;'Project Information'!B$11,A32+1,"")</f>
        <v/>
      </c>
      <c r="B33" s="164">
        <v>0</v>
      </c>
      <c r="E33" s="13"/>
      <c r="F33"/>
      <c r="G33"/>
      <c r="H33"/>
      <c r="I33"/>
      <c r="J33"/>
      <c r="K33"/>
      <c r="L33"/>
      <c r="M33"/>
      <c r="N33"/>
      <c r="O33"/>
      <c r="P33"/>
      <c r="Q33"/>
      <c r="R33" s="13">
        <v>17</v>
      </c>
      <c r="S33">
        <v>2045</v>
      </c>
      <c r="T33" s="177">
        <f t="shared" si="2"/>
        <v>53143.609345231889</v>
      </c>
      <c r="U33" s="177">
        <f t="shared" si="2"/>
        <v>26571.804672615945</v>
      </c>
      <c r="V33" s="177">
        <f t="shared" si="1"/>
        <v>79715.414017847826</v>
      </c>
      <c r="W33"/>
      <c r="X33"/>
      <c r="Y33"/>
      <c r="Z33"/>
      <c r="AA33"/>
      <c r="AB33"/>
      <c r="AC33"/>
      <c r="AD33"/>
      <c r="AE33"/>
      <c r="AF33"/>
      <c r="AG33"/>
      <c r="AH33"/>
      <c r="AI33"/>
      <c r="AJ33"/>
      <c r="AK33"/>
      <c r="AL33"/>
      <c r="AM33"/>
      <c r="AN33"/>
      <c r="AO33"/>
      <c r="AP33"/>
      <c r="AQ33"/>
      <c r="AR33"/>
      <c r="AS33"/>
      <c r="AT33"/>
      <c r="AU33"/>
      <c r="AV33"/>
      <c r="AW33"/>
      <c r="AX33"/>
      <c r="AY33"/>
      <c r="AZ33" s="14"/>
    </row>
    <row r="34" spans="1:52" x14ac:dyDescent="0.25">
      <c r="A34" s="1" t="str">
        <f>IF(A33&lt;'Project Information'!B$11,A33+1,"")</f>
        <v/>
      </c>
      <c r="B34" s="164">
        <v>0</v>
      </c>
      <c r="E34" s="13"/>
      <c r="F34"/>
      <c r="G34"/>
      <c r="H34"/>
      <c r="I34"/>
      <c r="J34"/>
      <c r="K34"/>
      <c r="L34"/>
      <c r="M34"/>
      <c r="N34"/>
      <c r="O34"/>
      <c r="P34"/>
      <c r="Q34"/>
      <c r="R34" s="13">
        <v>18</v>
      </c>
      <c r="S34">
        <v>2046</v>
      </c>
      <c r="T34" s="177">
        <f t="shared" ref="T34:U36" si="3">T33*1.01</f>
        <v>53675.04543868421</v>
      </c>
      <c r="U34" s="177">
        <f t="shared" si="3"/>
        <v>26837.522719342105</v>
      </c>
      <c r="V34" s="177">
        <f t="shared" si="1"/>
        <v>80512.568158026319</v>
      </c>
      <c r="W34"/>
      <c r="X34"/>
      <c r="Y34"/>
      <c r="Z34"/>
      <c r="AA34"/>
      <c r="AB34"/>
      <c r="AC34"/>
      <c r="AD34"/>
      <c r="AE34"/>
      <c r="AF34"/>
      <c r="AG34"/>
      <c r="AH34"/>
      <c r="AI34"/>
      <c r="AJ34"/>
      <c r="AK34"/>
      <c r="AL34"/>
      <c r="AM34"/>
      <c r="AN34"/>
      <c r="AO34"/>
      <c r="AP34"/>
      <c r="AQ34"/>
      <c r="AR34"/>
      <c r="AS34"/>
      <c r="AT34"/>
      <c r="AU34"/>
      <c r="AV34"/>
      <c r="AW34"/>
      <c r="AX34"/>
      <c r="AY34"/>
      <c r="AZ34" s="14"/>
    </row>
    <row r="35" spans="1:52" x14ac:dyDescent="0.25">
      <c r="A35" s="1" t="str">
        <f>IF(A34&lt;'Project Information'!B$11,A34+1,"")</f>
        <v/>
      </c>
      <c r="B35" s="164">
        <v>0</v>
      </c>
      <c r="E35" s="13"/>
      <c r="F35"/>
      <c r="G35"/>
      <c r="H35"/>
      <c r="I35"/>
      <c r="J35"/>
      <c r="K35"/>
      <c r="L35"/>
      <c r="M35"/>
      <c r="N35"/>
      <c r="O35"/>
      <c r="P35"/>
      <c r="Q35"/>
      <c r="R35" s="13">
        <v>19</v>
      </c>
      <c r="S35">
        <v>2047</v>
      </c>
      <c r="T35" s="177">
        <f t="shared" si="3"/>
        <v>54211.795893071052</v>
      </c>
      <c r="U35" s="177">
        <f t="shared" si="3"/>
        <v>27105.897946535526</v>
      </c>
      <c r="V35" s="177">
        <f t="shared" si="1"/>
        <v>81317.693839606582</v>
      </c>
      <c r="W35"/>
      <c r="X35"/>
      <c r="Y35"/>
      <c r="Z35"/>
      <c r="AA35"/>
      <c r="AB35"/>
      <c r="AC35"/>
      <c r="AD35"/>
      <c r="AE35"/>
      <c r="AF35"/>
      <c r="AG35"/>
      <c r="AH35"/>
      <c r="AI35"/>
      <c r="AJ35"/>
      <c r="AK35"/>
      <c r="AL35"/>
      <c r="AM35"/>
      <c r="AN35"/>
      <c r="AO35"/>
      <c r="AP35"/>
      <c r="AQ35"/>
      <c r="AR35"/>
      <c r="AS35"/>
      <c r="AT35"/>
      <c r="AU35"/>
      <c r="AV35"/>
      <c r="AW35"/>
      <c r="AX35"/>
      <c r="AY35"/>
      <c r="AZ35" s="14"/>
    </row>
    <row r="36" spans="1:52" x14ac:dyDescent="0.25">
      <c r="A36" s="1" t="str">
        <f>IF(A35&lt;'Project Information'!B$11,A35+1,"")</f>
        <v/>
      </c>
      <c r="B36" s="164">
        <v>0</v>
      </c>
      <c r="E36" s="13"/>
      <c r="F36"/>
      <c r="G36"/>
      <c r="H36"/>
      <c r="I36"/>
      <c r="J36"/>
      <c r="K36"/>
      <c r="L36"/>
      <c r="M36"/>
      <c r="N36"/>
      <c r="O36"/>
      <c r="P36"/>
      <c r="Q36"/>
      <c r="R36" s="13">
        <v>20</v>
      </c>
      <c r="S36">
        <v>2048</v>
      </c>
      <c r="T36" s="177">
        <f t="shared" si="3"/>
        <v>54753.913852001766</v>
      </c>
      <c r="U36" s="177">
        <f t="shared" si="3"/>
        <v>27376.956926000883</v>
      </c>
      <c r="V36" s="177">
        <f t="shared" si="1"/>
        <v>82130.870778002645</v>
      </c>
      <c r="W36"/>
      <c r="X36"/>
      <c r="Y36"/>
      <c r="Z36"/>
      <c r="AA36"/>
      <c r="AB36"/>
      <c r="AC36"/>
      <c r="AD36"/>
      <c r="AE36"/>
      <c r="AF36"/>
      <c r="AG36"/>
      <c r="AH36"/>
      <c r="AI36"/>
      <c r="AJ36"/>
      <c r="AK36"/>
      <c r="AL36"/>
      <c r="AM36"/>
      <c r="AN36"/>
      <c r="AO36"/>
      <c r="AP36"/>
      <c r="AQ36"/>
      <c r="AR36"/>
      <c r="AS36"/>
      <c r="AT36"/>
      <c r="AU36"/>
      <c r="AV36"/>
      <c r="AW36"/>
      <c r="AX36"/>
      <c r="AY36"/>
      <c r="AZ36" s="14"/>
    </row>
    <row r="37" spans="1:52" x14ac:dyDescent="0.25">
      <c r="A37" s="1" t="str">
        <f>IF(A36&lt;'Project Information'!B$11,A36+1,"")</f>
        <v/>
      </c>
      <c r="B37" s="164">
        <v>0</v>
      </c>
      <c r="E37" s="13"/>
      <c r="F37"/>
      <c r="G37"/>
      <c r="H37"/>
      <c r="I37"/>
      <c r="J37"/>
      <c r="K37"/>
      <c r="L37"/>
      <c r="M37"/>
      <c r="N37"/>
      <c r="O37"/>
      <c r="P37"/>
      <c r="Q37"/>
      <c r="R37" s="13" t="s">
        <v>518</v>
      </c>
      <c r="S37"/>
      <c r="T37" s="177"/>
      <c r="U37" s="177"/>
      <c r="V37" s="177">
        <f>SUM(V17:V36)</f>
        <v>1496917.9485782632</v>
      </c>
      <c r="W37"/>
      <c r="X37"/>
      <c r="Y37"/>
      <c r="Z37"/>
      <c r="AA37"/>
      <c r="AB37"/>
      <c r="AC37"/>
      <c r="AD37"/>
      <c r="AE37"/>
      <c r="AF37"/>
      <c r="AG37"/>
      <c r="AH37"/>
      <c r="AI37"/>
      <c r="AJ37"/>
      <c r="AK37"/>
      <c r="AL37"/>
      <c r="AM37"/>
      <c r="AN37"/>
      <c r="AO37"/>
      <c r="AP37"/>
      <c r="AQ37"/>
      <c r="AR37"/>
      <c r="AS37"/>
      <c r="AT37"/>
      <c r="AU37"/>
      <c r="AV37"/>
      <c r="AW37"/>
      <c r="AX37"/>
      <c r="AY37"/>
      <c r="AZ37" s="14"/>
    </row>
    <row r="38" spans="1:52" x14ac:dyDescent="0.25">
      <c r="A38" s="1" t="str">
        <f>IF(A37&lt;'Project Information'!B$11,A37+1,"")</f>
        <v/>
      </c>
      <c r="B38" s="164">
        <v>0</v>
      </c>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25">
      <c r="A39" s="1" t="str">
        <f>IF(A38&lt;'Project Information'!B$11,A38+1,"")</f>
        <v/>
      </c>
      <c r="B39" s="164">
        <v>0</v>
      </c>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25">
      <c r="A40" s="2" t="str">
        <f>IF(A39&lt;'Project Information'!B$11,A39+1,"")</f>
        <v/>
      </c>
      <c r="B40" s="120">
        <v>0</v>
      </c>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25">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25">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25">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25">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25">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25">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25">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25">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25">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25">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25">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25">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2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2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2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2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2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2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2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2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2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2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2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2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2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2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2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2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2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2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2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2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2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2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2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2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2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2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2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ht="15.75" thickBot="1" x14ac:dyDescent="0.3">
      <c r="E80" s="13"/>
      <c r="F80" s="16"/>
      <c r="G80" s="16"/>
      <c r="H80" s="16"/>
      <c r="I80" s="16"/>
      <c r="J80" s="16"/>
      <c r="K80" s="16"/>
      <c r="L80" s="16"/>
      <c r="M80" s="16"/>
      <c r="N80" s="16"/>
      <c r="O80" s="16"/>
      <c r="P80" s="16"/>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25">
      <c r="E81" s="13"/>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25">
      <c r="E82" s="13"/>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25">
      <c r="E83" s="1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25">
      <c r="E84" s="13"/>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25">
      <c r="E85" s="13"/>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25">
      <c r="E86" s="13"/>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x14ac:dyDescent="0.25">
      <c r="E87" s="13"/>
      <c r="Q87"/>
      <c r="R87"/>
      <c r="S87"/>
      <c r="T87"/>
      <c r="U87"/>
      <c r="V87"/>
      <c r="W87"/>
      <c r="X87"/>
      <c r="Y87"/>
      <c r="Z87"/>
      <c r="AA87"/>
      <c r="AB87"/>
      <c r="AC87"/>
      <c r="AD87"/>
      <c r="AE87"/>
      <c r="AF87"/>
      <c r="AG87"/>
      <c r="AH87"/>
      <c r="AI87"/>
      <c r="AJ87"/>
      <c r="AK87"/>
      <c r="AL87"/>
      <c r="AM87"/>
      <c r="AN87"/>
      <c r="AO87"/>
      <c r="AP87"/>
      <c r="AQ87"/>
      <c r="AR87"/>
      <c r="AS87"/>
      <c r="AT87"/>
      <c r="AU87"/>
      <c r="AV87"/>
      <c r="AW87"/>
      <c r="AX87"/>
      <c r="AY87"/>
      <c r="AZ87" s="14"/>
    </row>
    <row r="88" spans="5:52" x14ac:dyDescent="0.25">
      <c r="E88" s="13"/>
      <c r="Q88"/>
      <c r="R88"/>
      <c r="S88"/>
      <c r="T88"/>
      <c r="U88"/>
      <c r="V88"/>
      <c r="W88"/>
      <c r="X88"/>
      <c r="Y88"/>
      <c r="Z88"/>
      <c r="AA88"/>
      <c r="AB88"/>
      <c r="AC88"/>
      <c r="AD88"/>
      <c r="AE88"/>
      <c r="AF88"/>
      <c r="AG88"/>
      <c r="AH88"/>
      <c r="AI88"/>
      <c r="AJ88"/>
      <c r="AK88"/>
      <c r="AL88"/>
      <c r="AM88"/>
      <c r="AN88"/>
      <c r="AO88"/>
      <c r="AP88"/>
      <c r="AQ88"/>
      <c r="AR88"/>
      <c r="AS88"/>
      <c r="AT88"/>
      <c r="AU88"/>
      <c r="AV88"/>
      <c r="AW88"/>
      <c r="AX88"/>
      <c r="AY88"/>
      <c r="AZ88" s="14"/>
    </row>
    <row r="89" spans="5:52" x14ac:dyDescent="0.25">
      <c r="E89" s="13"/>
      <c r="Q89"/>
      <c r="R89"/>
      <c r="S89"/>
      <c r="T89"/>
      <c r="U89"/>
      <c r="V89"/>
      <c r="W89"/>
      <c r="X89"/>
      <c r="Y89"/>
      <c r="Z89"/>
      <c r="AA89"/>
      <c r="AB89"/>
      <c r="AC89"/>
      <c r="AD89"/>
      <c r="AE89"/>
      <c r="AF89"/>
      <c r="AG89"/>
      <c r="AH89"/>
      <c r="AI89"/>
      <c r="AJ89"/>
      <c r="AK89"/>
      <c r="AL89"/>
      <c r="AM89"/>
      <c r="AN89"/>
      <c r="AO89"/>
      <c r="AP89"/>
      <c r="AQ89"/>
      <c r="AR89"/>
      <c r="AS89"/>
      <c r="AT89"/>
      <c r="AU89"/>
      <c r="AV89"/>
      <c r="AW89"/>
      <c r="AX89"/>
      <c r="AY89"/>
      <c r="AZ89" s="14"/>
    </row>
    <row r="90" spans="5:52" ht="15.75" thickBot="1" x14ac:dyDescent="0.3">
      <c r="E90" s="15"/>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7"/>
    </row>
  </sheetData>
  <mergeCells count="3">
    <mergeCell ref="F12:P12"/>
    <mergeCell ref="F16:P16"/>
    <mergeCell ref="R12:V12"/>
  </mergeCells>
  <conditionalFormatting sqref="B11:B40">
    <cfRule type="expression" dxfId="7" priority="1">
      <formula>A11=""</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EE6D4-7F6C-4AC2-AF83-FF0176DC6AB8}">
  <sheetPr>
    <tabColor theme="9" tint="0.39997558519241921"/>
  </sheetPr>
  <dimension ref="A1:AZ94"/>
  <sheetViews>
    <sheetView topLeftCell="A11" workbookViewId="0">
      <selection activeCell="O25" sqref="O25"/>
    </sheetView>
  </sheetViews>
  <sheetFormatPr defaultColWidth="9.140625" defaultRowHeight="15" x14ac:dyDescent="0.25"/>
  <cols>
    <col min="1" max="1" width="27.28515625" style="5" customWidth="1"/>
    <col min="2" max="2" width="40.7109375" style="5" customWidth="1"/>
    <col min="3" max="3" width="24.42578125" style="5" customWidth="1"/>
    <col min="4" max="6" width="9.140625" style="5"/>
    <col min="7" max="7" width="13.28515625" style="5" customWidth="1"/>
    <col min="8" max="12" width="9.140625" style="5"/>
    <col min="13" max="13" width="14" style="5" bestFit="1" customWidth="1"/>
    <col min="14" max="15" width="9.140625" style="5"/>
    <col min="16" max="16" width="12.5703125" style="5" bestFit="1" customWidth="1"/>
    <col min="17" max="16384" width="9.140625" style="5"/>
  </cols>
  <sheetData>
    <row r="1" spans="1:52" ht="20.25" thickBot="1" x14ac:dyDescent="0.35">
      <c r="A1" s="96" t="s">
        <v>13</v>
      </c>
    </row>
    <row r="2" spans="1:52" ht="15.75" thickTop="1" x14ac:dyDescent="0.25">
      <c r="A2" s="152" t="s">
        <v>245</v>
      </c>
      <c r="B2" s="152"/>
      <c r="C2" s="152"/>
      <c r="D2" s="152"/>
      <c r="E2" s="152"/>
      <c r="F2" s="152"/>
      <c r="G2" s="152"/>
      <c r="H2" s="152"/>
    </row>
    <row r="3" spans="1:52" x14ac:dyDescent="0.25">
      <c r="A3" s="5" t="s">
        <v>205</v>
      </c>
    </row>
    <row r="4" spans="1:52" x14ac:dyDescent="0.25">
      <c r="A4" s="153" t="s">
        <v>354</v>
      </c>
      <c r="B4" s="152"/>
      <c r="C4" s="152"/>
      <c r="D4" s="152"/>
      <c r="E4" s="152"/>
      <c r="F4" s="152"/>
      <c r="G4" s="152"/>
      <c r="H4" s="152"/>
      <c r="I4" s="152"/>
      <c r="J4" s="152"/>
      <c r="K4" s="152"/>
    </row>
    <row r="5" spans="1:52" x14ac:dyDescent="0.25">
      <c r="A5" s="38" t="s">
        <v>205</v>
      </c>
    </row>
    <row r="6" spans="1:52" x14ac:dyDescent="0.25">
      <c r="A6" s="97" t="s">
        <v>246</v>
      </c>
    </row>
    <row r="7" spans="1:52" ht="30" x14ac:dyDescent="0.25">
      <c r="A7" s="117" t="s">
        <v>135</v>
      </c>
      <c r="B7" s="117" t="s">
        <v>197</v>
      </c>
      <c r="C7" s="118" t="s">
        <v>357</v>
      </c>
    </row>
    <row r="8" spans="1:52" x14ac:dyDescent="0.25">
      <c r="A8" s="43" t="s">
        <v>198</v>
      </c>
      <c r="B8" s="43" t="str">
        <f>'Parameter Values'!B220</f>
        <v>Ages 20-74</v>
      </c>
      <c r="C8" s="44">
        <f>'Parameter Values'!C220</f>
        <v>8.06</v>
      </c>
    </row>
    <row r="9" spans="1:52" x14ac:dyDescent="0.25">
      <c r="A9" s="43" t="s">
        <v>199</v>
      </c>
      <c r="B9" s="43" t="str">
        <f>'Parameter Values'!B221</f>
        <v>Ages 20-64</v>
      </c>
      <c r="C9" s="44">
        <f>'Parameter Values'!C221</f>
        <v>7.18</v>
      </c>
    </row>
    <row r="10" spans="1:52" x14ac:dyDescent="0.25">
      <c r="A10" s="152" t="str">
        <f>RIGHT('Parameter Values'!A225,LEN('Parameter Values'!A225)-5)</f>
        <v>Absent more localized data on the proportion of the expected users falling into the age ranges above, applicants may apply a general assumption of 68% and 59% of overall induced trips falling into the walking and cycling age ranges, respectively, assuming a distribution matching the national average.</v>
      </c>
      <c r="B10" s="152"/>
      <c r="C10" s="152"/>
      <c r="D10" s="152"/>
      <c r="E10" s="152"/>
      <c r="F10" s="152"/>
      <c r="G10" s="152"/>
      <c r="H10" s="152"/>
      <c r="I10" s="152"/>
      <c r="J10" s="152"/>
      <c r="K10" s="152"/>
      <c r="L10" s="152"/>
      <c r="M10" s="152"/>
      <c r="N10" s="152"/>
      <c r="O10" s="152"/>
      <c r="P10" s="152"/>
      <c r="Q10" s="152"/>
      <c r="R10" s="152"/>
      <c r="S10" s="152"/>
      <c r="T10" s="152"/>
      <c r="U10" s="152"/>
      <c r="V10" s="152"/>
      <c r="W10" s="152"/>
    </row>
    <row r="11" spans="1:52" x14ac:dyDescent="0.25">
      <c r="A11" s="152" t="str">
        <f>RIGHT('Parameter Values'!A226,LEN('Parameter Values'!A226)-5)</f>
        <v xml:space="preserve">Applicants should ensure these monetization values are only applied to trips induced from non-active transportation modes within the relevant age ranges for each mode. Absent more localized data on the proportion of induced trips coming from non-active transportation modes, applicants may apply a general assumption of 89% of induced trips falling into that category, assuming a distribution matching the national average travel pattern. </v>
      </c>
      <c r="B11" s="152"/>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row>
    <row r="12" spans="1:52" x14ac:dyDescent="0.25">
      <c r="A12" s="38" t="s">
        <v>205</v>
      </c>
    </row>
    <row r="13" spans="1:52" ht="15.75" thickBot="1" x14ac:dyDescent="0.3">
      <c r="A13" s="97" t="s">
        <v>251</v>
      </c>
    </row>
    <row r="14" spans="1:52" ht="15.75" thickBot="1" x14ac:dyDescent="0.3">
      <c r="A14" s="107" t="s">
        <v>4</v>
      </c>
      <c r="B14" s="108" t="s">
        <v>13</v>
      </c>
      <c r="E14" s="10" t="s">
        <v>161</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2"/>
    </row>
    <row r="15" spans="1:52" ht="15.75" customHeight="1" x14ac:dyDescent="0.25">
      <c r="A15" s="6">
        <f>'Project Information'!$B$9</f>
        <v>2029</v>
      </c>
      <c r="B15" s="164">
        <v>278297.17</v>
      </c>
      <c r="E15" s="333" t="s">
        <v>486</v>
      </c>
      <c r="F15" s="334"/>
      <c r="G15" s="334"/>
      <c r="H15" s="334"/>
      <c r="I15" s="334"/>
      <c r="J15" s="334"/>
      <c r="K15" s="334"/>
      <c r="L15" s="334"/>
      <c r="M15" s="33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ht="47.25" x14ac:dyDescent="0.25">
      <c r="A16" s="1">
        <f>IF(A15&lt;'Project Information'!B$11,A15+1,"")</f>
        <v>2030</v>
      </c>
      <c r="B16" s="164">
        <f>279237*1.02</f>
        <v>284821.74</v>
      </c>
      <c r="E16" s="336" t="s">
        <v>487</v>
      </c>
      <c r="F16" s="337"/>
      <c r="G16" s="337"/>
      <c r="H16" s="217" t="s">
        <v>488</v>
      </c>
      <c r="I16" s="217" t="s">
        <v>489</v>
      </c>
      <c r="J16" s="217" t="s">
        <v>490</v>
      </c>
      <c r="K16" s="217" t="s">
        <v>197</v>
      </c>
      <c r="L16" s="217" t="s">
        <v>491</v>
      </c>
      <c r="M16" s="218" t="s">
        <v>492</v>
      </c>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ht="15.75" x14ac:dyDescent="0.25">
      <c r="A17" s="1">
        <f>IF(A16&lt;'Project Information'!B$11,A16+1,"")</f>
        <v>2031</v>
      </c>
      <c r="B17" s="164">
        <f t="shared" ref="B17:B34" si="0">B16*1.02</f>
        <v>290518.17479999998</v>
      </c>
      <c r="E17" s="338"/>
      <c r="F17" s="339"/>
      <c r="G17" s="340"/>
      <c r="H17" s="219"/>
      <c r="I17" s="219"/>
      <c r="J17" s="219"/>
      <c r="K17" s="219"/>
      <c r="L17" s="220"/>
      <c r="M17" s="221"/>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ht="15.75" x14ac:dyDescent="0.25">
      <c r="A18" s="1">
        <f>IF(A17&lt;'Project Information'!B$11,A17+1,"")</f>
        <v>2032</v>
      </c>
      <c r="B18" s="164">
        <f t="shared" si="0"/>
        <v>296328.53829599998</v>
      </c>
      <c r="E18" s="341"/>
      <c r="F18" s="342"/>
      <c r="G18" s="343"/>
      <c r="H18" s="224"/>
      <c r="I18" s="224"/>
      <c r="J18" s="224"/>
      <c r="K18" s="224"/>
      <c r="L18" s="225"/>
      <c r="M18" s="226"/>
      <c r="N18"/>
      <c r="O18"/>
      <c r="P18" s="231"/>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ht="15.75" x14ac:dyDescent="0.25">
      <c r="A19" s="1">
        <f>IF(A18&lt;'Project Information'!B$11,A18+1,"")</f>
        <v>2033</v>
      </c>
      <c r="B19" s="164">
        <f t="shared" si="0"/>
        <v>302255.10906191997</v>
      </c>
      <c r="E19" s="344" t="s">
        <v>493</v>
      </c>
      <c r="F19" s="345"/>
      <c r="G19" s="345"/>
      <c r="H19" s="219">
        <v>100</v>
      </c>
      <c r="I19" s="219">
        <v>340</v>
      </c>
      <c r="J19" s="219">
        <v>0.89</v>
      </c>
      <c r="K19" s="219">
        <v>0.68</v>
      </c>
      <c r="L19" s="220">
        <v>8.06</v>
      </c>
      <c r="M19" s="221">
        <f>(((H19*I19)*J19)*K19)*7.2</f>
        <v>148152.96000000002</v>
      </c>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ht="16.5" thickBot="1" x14ac:dyDescent="0.3">
      <c r="A20" s="1">
        <f>IF(A19&lt;'Project Information'!B$11,A19+1,"")</f>
        <v>2034</v>
      </c>
      <c r="B20" s="164">
        <f t="shared" si="0"/>
        <v>308300.21124315838</v>
      </c>
      <c r="E20" s="331" t="s">
        <v>494</v>
      </c>
      <c r="F20" s="332"/>
      <c r="G20" s="332"/>
      <c r="H20" s="228">
        <v>30</v>
      </c>
      <c r="I20" s="228">
        <v>340</v>
      </c>
      <c r="J20" s="228">
        <v>0.89</v>
      </c>
      <c r="K20" s="228">
        <v>0.68</v>
      </c>
      <c r="L20" s="229">
        <v>8.06</v>
      </c>
      <c r="M20" s="230">
        <f>(((H20*I20)*J20)*K20)*7.2</f>
        <v>44445.888000000006</v>
      </c>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ht="15" customHeight="1" x14ac:dyDescent="0.25">
      <c r="A21" s="1">
        <f>IF(A20&lt;'Project Information'!B$11,A20+1,"")</f>
        <v>2035</v>
      </c>
      <c r="B21" s="164">
        <f t="shared" si="0"/>
        <v>314466.21546802158</v>
      </c>
      <c r="E21" s="347" t="s">
        <v>544</v>
      </c>
      <c r="F21" s="348"/>
      <c r="G21" s="348"/>
      <c r="H21" s="348"/>
      <c r="I21" s="348"/>
      <c r="J21" s="348"/>
      <c r="K21" s="348"/>
      <c r="L21" s="348"/>
      <c r="M21" s="348"/>
      <c r="N21" s="348"/>
      <c r="O21" s="348"/>
      <c r="P21" s="348"/>
      <c r="Q21" s="348"/>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25">
      <c r="A22" s="1">
        <f>IF(A21&lt;'Project Information'!B$11,A21+1,"")</f>
        <v>2036</v>
      </c>
      <c r="B22" s="164">
        <f t="shared" si="0"/>
        <v>320755.53977738199</v>
      </c>
      <c r="E22" s="347"/>
      <c r="F22" s="348"/>
      <c r="G22" s="348"/>
      <c r="H22" s="348"/>
      <c r="I22" s="348"/>
      <c r="J22" s="348"/>
      <c r="K22" s="348"/>
      <c r="L22" s="348"/>
      <c r="M22" s="348"/>
      <c r="N22" s="348"/>
      <c r="O22" s="348"/>
      <c r="P22" s="348"/>
      <c r="Q22" s="348"/>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25">
      <c r="A23" s="1">
        <f>IF(A22&lt;'Project Information'!B$11,A22+1,"")</f>
        <v>2037</v>
      </c>
      <c r="B23" s="164">
        <f t="shared" si="0"/>
        <v>327170.65057292965</v>
      </c>
      <c r="E23" s="347"/>
      <c r="F23" s="348"/>
      <c r="G23" s="348"/>
      <c r="H23" s="348"/>
      <c r="I23" s="348"/>
      <c r="J23" s="348"/>
      <c r="K23" s="348"/>
      <c r="L23" s="348"/>
      <c r="M23" s="348"/>
      <c r="N23" s="348"/>
      <c r="O23" s="348"/>
      <c r="P23" s="348"/>
      <c r="Q23" s="348"/>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ht="15.75" thickBot="1" x14ac:dyDescent="0.3">
      <c r="A24" s="1">
        <f>IF(A23&lt;'Project Information'!B$11,A23+1,"")</f>
        <v>2038</v>
      </c>
      <c r="B24" s="164">
        <f t="shared" si="0"/>
        <v>333714.06358438823</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ht="15.75" customHeight="1" x14ac:dyDescent="0.25">
      <c r="A25" s="1">
        <f>IF(A24&lt;'Project Information'!B$11,A24+1,"")</f>
        <v>2039</v>
      </c>
      <c r="B25" s="164">
        <f t="shared" si="0"/>
        <v>340388.344856076</v>
      </c>
      <c r="E25" s="333" t="s">
        <v>495</v>
      </c>
      <c r="F25" s="334"/>
      <c r="G25" s="334"/>
      <c r="H25" s="334"/>
      <c r="I25" s="334"/>
      <c r="J25" s="334"/>
      <c r="K25" s="334"/>
      <c r="L25" s="334"/>
      <c r="M25" s="33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ht="63" x14ac:dyDescent="0.25">
      <c r="A26" s="1">
        <f>IF(A25&lt;'Project Information'!B$11,A25+1,"")</f>
        <v>2040</v>
      </c>
      <c r="B26" s="164">
        <f t="shared" si="0"/>
        <v>347196.1117531975</v>
      </c>
      <c r="E26" s="336" t="s">
        <v>487</v>
      </c>
      <c r="F26" s="337"/>
      <c r="G26" s="349"/>
      <c r="H26" s="217" t="s">
        <v>496</v>
      </c>
      <c r="I26" s="217" t="s">
        <v>489</v>
      </c>
      <c r="J26" s="217" t="s">
        <v>497</v>
      </c>
      <c r="K26" s="217" t="s">
        <v>197</v>
      </c>
      <c r="L26" s="217" t="s">
        <v>491</v>
      </c>
      <c r="M26" s="218" t="s">
        <v>492</v>
      </c>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ht="15.75" x14ac:dyDescent="0.25">
      <c r="A27" s="1">
        <f>IF(A26&lt;'Project Information'!B$11,A26+1,"")</f>
        <v>2041</v>
      </c>
      <c r="B27" s="164">
        <f t="shared" si="0"/>
        <v>354140.03398826148</v>
      </c>
      <c r="E27" s="344"/>
      <c r="F27" s="345"/>
      <c r="G27" s="350"/>
      <c r="H27" s="219"/>
      <c r="I27" s="219"/>
      <c r="J27" s="219"/>
      <c r="K27" s="219"/>
      <c r="L27" s="220"/>
      <c r="M27" s="221"/>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ht="15.75" x14ac:dyDescent="0.25">
      <c r="A28" s="1">
        <f>IF(A27&lt;'Project Information'!B$11,A27+1,"")</f>
        <v>2042</v>
      </c>
      <c r="B28" s="164">
        <f t="shared" si="0"/>
        <v>361222.83466802671</v>
      </c>
      <c r="E28" s="341"/>
      <c r="F28" s="342"/>
      <c r="G28" s="343"/>
      <c r="H28" s="224"/>
      <c r="I28" s="224"/>
      <c r="J28" s="224"/>
      <c r="K28" s="224"/>
      <c r="L28" s="225"/>
      <c r="M28" s="226"/>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ht="15.75" x14ac:dyDescent="0.25">
      <c r="A29" s="1">
        <f>IF(A28&lt;'Project Information'!B$11,A28+1,"")</f>
        <v>2043</v>
      </c>
      <c r="B29" s="164">
        <f t="shared" si="0"/>
        <v>368447.29136138724</v>
      </c>
      <c r="E29" s="344" t="s">
        <v>493</v>
      </c>
      <c r="F29" s="345"/>
      <c r="G29" s="350"/>
      <c r="H29" s="219">
        <v>15</v>
      </c>
      <c r="I29" s="219">
        <v>340</v>
      </c>
      <c r="J29" s="219">
        <v>2.38</v>
      </c>
      <c r="K29" s="219">
        <v>0.59</v>
      </c>
      <c r="L29" s="220">
        <v>7.18</v>
      </c>
      <c r="M29" s="221">
        <f>(((H29*I29)*J29)*K29)*L29</f>
        <v>51418.995600000002</v>
      </c>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ht="16.5" thickBot="1" x14ac:dyDescent="0.3">
      <c r="A30" s="1">
        <f>IF(A29&lt;'Project Information'!B$11,A29+1,"")</f>
        <v>2044</v>
      </c>
      <c r="B30" s="164">
        <f t="shared" si="0"/>
        <v>375816.23718861496</v>
      </c>
      <c r="E30" s="331" t="s">
        <v>494</v>
      </c>
      <c r="F30" s="332"/>
      <c r="G30" s="346"/>
      <c r="H30" s="228">
        <v>10</v>
      </c>
      <c r="I30" s="228">
        <v>340</v>
      </c>
      <c r="J30" s="228">
        <v>2.38</v>
      </c>
      <c r="K30" s="228">
        <v>0.59</v>
      </c>
      <c r="L30" s="229">
        <v>7.18</v>
      </c>
      <c r="M30" s="230">
        <f>(((H30*I30)*J30)*K30)*L30</f>
        <v>34279.330399999999</v>
      </c>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25">
      <c r="A31" s="1">
        <f>IF(A30&lt;'Project Information'!B$11,A30+1,"")</f>
        <v>2045</v>
      </c>
      <c r="B31" s="164">
        <f t="shared" si="0"/>
        <v>383332.5619323873</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25">
      <c r="A32" s="1">
        <f>IF(A31&lt;'Project Information'!B$11,A31+1,"")</f>
        <v>2046</v>
      </c>
      <c r="B32" s="164">
        <f t="shared" si="0"/>
        <v>390999.21317103505</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25">
      <c r="A33" s="1">
        <f>IF(A32&lt;'Project Information'!B$11,A32+1,"")</f>
        <v>2047</v>
      </c>
      <c r="B33" s="164">
        <f t="shared" si="0"/>
        <v>398819.19743445574</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25">
      <c r="A34" s="1">
        <f>IF(A33&lt;'Project Information'!B$11,A33+1,"")</f>
        <v>2048</v>
      </c>
      <c r="B34" s="164">
        <f t="shared" si="0"/>
        <v>406795.58138314483</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25">
      <c r="A35" s="1" t="str">
        <f>IF(A34&lt;'Project Information'!B$11,A34+1,"")</f>
        <v/>
      </c>
      <c r="B35" s="164">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25">
      <c r="A36" s="1" t="str">
        <f>IF(A35&lt;'Project Information'!B$11,A35+1,"")</f>
        <v/>
      </c>
      <c r="B36" s="164">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25">
      <c r="A37" s="1" t="str">
        <f>IF(A36&lt;'Project Information'!B$11,A36+1,"")</f>
        <v/>
      </c>
      <c r="B37" s="164">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25">
      <c r="A38" s="1" t="str">
        <f>IF(A37&lt;'Project Information'!B$11,A37+1,"")</f>
        <v/>
      </c>
      <c r="B38" s="164">
        <v>0</v>
      </c>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25">
      <c r="A39" s="1" t="str">
        <f>IF(A38&lt;'Project Information'!B$11,A38+1,"")</f>
        <v/>
      </c>
      <c r="B39" s="164">
        <v>0</v>
      </c>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25">
      <c r="A40" s="1" t="str">
        <f>IF(A39&lt;'Project Information'!B$11,A39+1,"")</f>
        <v/>
      </c>
      <c r="B40" s="164">
        <v>0</v>
      </c>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25">
      <c r="A41" s="1" t="str">
        <f>IF(A40&lt;'Project Information'!B$11,A40+1,"")</f>
        <v/>
      </c>
      <c r="B41" s="164">
        <v>0</v>
      </c>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25">
      <c r="A42" s="1" t="str">
        <f>IF(A41&lt;'Project Information'!B$11,A41+1,"")</f>
        <v/>
      </c>
      <c r="B42" s="164">
        <v>0</v>
      </c>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25">
      <c r="A43" s="1" t="str">
        <f>IF(A42&lt;'Project Information'!B$11,A42+1,"")</f>
        <v/>
      </c>
      <c r="B43" s="164">
        <v>0</v>
      </c>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25">
      <c r="A44" s="2" t="str">
        <f>IF(A43&lt;'Project Information'!B$11,A43+1,"")</f>
        <v/>
      </c>
      <c r="B44" s="120">
        <v>0</v>
      </c>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25">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25">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25">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25">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25">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25">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25">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25">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2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2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2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2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2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2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2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2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2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2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2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2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2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2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2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2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2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2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2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2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2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2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2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2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2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2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2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2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2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2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2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2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2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2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x14ac:dyDescent="0.25">
      <c r="E87" s="13"/>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s="14"/>
    </row>
    <row r="88" spans="5:52" x14ac:dyDescent="0.25">
      <c r="E88" s="13"/>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s="14"/>
    </row>
    <row r="89" spans="5:52" x14ac:dyDescent="0.25">
      <c r="E89" s="13"/>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s="14"/>
    </row>
    <row r="90" spans="5:52" x14ac:dyDescent="0.25">
      <c r="E90" s="13"/>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s="14"/>
    </row>
    <row r="91" spans="5:52" x14ac:dyDescent="0.25">
      <c r="E91" s="13"/>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s="14"/>
    </row>
    <row r="92" spans="5:52" x14ac:dyDescent="0.25">
      <c r="E92" s="13"/>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s="14"/>
    </row>
    <row r="93" spans="5:52" x14ac:dyDescent="0.25">
      <c r="E93" s="1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s="14"/>
    </row>
    <row r="94" spans="5:52" ht="15.75" thickBot="1" x14ac:dyDescent="0.3">
      <c r="E94" s="15"/>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7"/>
    </row>
  </sheetData>
  <mergeCells count="13">
    <mergeCell ref="E30:G30"/>
    <mergeCell ref="E21:Q23"/>
    <mergeCell ref="E25:M25"/>
    <mergeCell ref="E26:G26"/>
    <mergeCell ref="E27:G27"/>
    <mergeCell ref="E28:G28"/>
    <mergeCell ref="E29:G29"/>
    <mergeCell ref="E20:G20"/>
    <mergeCell ref="E15:M15"/>
    <mergeCell ref="E16:G16"/>
    <mergeCell ref="E17:G17"/>
    <mergeCell ref="E18:G18"/>
    <mergeCell ref="E19:G19"/>
  </mergeCells>
  <conditionalFormatting sqref="B15:B44">
    <cfRule type="expression" dxfId="6" priority="1">
      <formula>A15=""</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BE35F-05A6-46FB-8C80-3085CA6C95D6}">
  <sheetPr>
    <tabColor theme="9" tint="0.39997558519241921"/>
  </sheetPr>
  <dimension ref="A1:AZ102"/>
  <sheetViews>
    <sheetView topLeftCell="A21" zoomScaleNormal="100" workbookViewId="0">
      <selection activeCell="C24" sqref="C24"/>
    </sheetView>
  </sheetViews>
  <sheetFormatPr defaultColWidth="9.140625" defaultRowHeight="15" x14ac:dyDescent="0.25"/>
  <cols>
    <col min="1" max="1" width="33.5703125" style="5" customWidth="1"/>
    <col min="2" max="2" width="30" style="5" customWidth="1"/>
    <col min="3" max="3" width="21.85546875" style="5" customWidth="1"/>
    <col min="4" max="4" width="17.85546875" style="5" customWidth="1"/>
    <col min="5" max="16384" width="9.140625" style="5"/>
  </cols>
  <sheetData>
    <row r="1" spans="1:11" ht="20.25" thickBot="1" x14ac:dyDescent="0.35">
      <c r="A1" s="96" t="s">
        <v>20</v>
      </c>
    </row>
    <row r="2" spans="1:11" ht="15.75" thickTop="1" x14ac:dyDescent="0.25">
      <c r="A2" s="152" t="s">
        <v>245</v>
      </c>
      <c r="B2" s="152"/>
      <c r="C2" s="152"/>
      <c r="D2" s="152"/>
      <c r="E2" s="152"/>
      <c r="F2" s="152"/>
      <c r="G2" s="152"/>
      <c r="H2" s="152"/>
    </row>
    <row r="3" spans="1:11" x14ac:dyDescent="0.25">
      <c r="A3" s="5" t="s">
        <v>205</v>
      </c>
    </row>
    <row r="4" spans="1:11" x14ac:dyDescent="0.25">
      <c r="A4" s="153" t="s">
        <v>354</v>
      </c>
      <c r="B4" s="152"/>
      <c r="C4" s="152"/>
      <c r="D4" s="152"/>
      <c r="E4" s="152"/>
      <c r="F4" s="152"/>
      <c r="G4" s="152"/>
      <c r="H4" s="152"/>
      <c r="I4" s="152"/>
      <c r="J4" s="152"/>
      <c r="K4" s="152"/>
    </row>
    <row r="5" spans="1:11" x14ac:dyDescent="0.25">
      <c r="A5" s="5" t="s">
        <v>205</v>
      </c>
    </row>
    <row r="6" spans="1:11" x14ac:dyDescent="0.25">
      <c r="A6" s="153" t="s">
        <v>309</v>
      </c>
      <c r="B6" s="152"/>
      <c r="C6" s="152"/>
      <c r="D6" s="152"/>
      <c r="E6" s="152"/>
      <c r="F6" s="152"/>
    </row>
    <row r="7" spans="1:11" x14ac:dyDescent="0.25">
      <c r="A7" s="153" t="s">
        <v>312</v>
      </c>
      <c r="B7" s="152"/>
      <c r="C7" s="152"/>
      <c r="D7" s="152"/>
      <c r="E7" s="152"/>
      <c r="F7" s="152"/>
      <c r="G7" s="152"/>
      <c r="H7" s="152"/>
      <c r="I7" s="152"/>
    </row>
    <row r="8" spans="1:11" x14ac:dyDescent="0.25">
      <c r="A8" s="153" t="s">
        <v>314</v>
      </c>
      <c r="B8" s="152"/>
      <c r="C8" s="152"/>
      <c r="D8" s="152"/>
      <c r="E8" s="152"/>
      <c r="F8" s="152"/>
    </row>
    <row r="9" spans="1:11" x14ac:dyDescent="0.25">
      <c r="A9" s="97" t="s">
        <v>298</v>
      </c>
    </row>
    <row r="10" spans="1:11" x14ac:dyDescent="0.25">
      <c r="A10" s="117" t="s">
        <v>299</v>
      </c>
      <c r="B10" s="107" t="s">
        <v>358</v>
      </c>
      <c r="C10" s="107" t="s">
        <v>301</v>
      </c>
      <c r="D10" s="107" t="s">
        <v>20</v>
      </c>
    </row>
    <row r="11" spans="1:11" x14ac:dyDescent="0.25">
      <c r="A11" s="156" t="s">
        <v>311</v>
      </c>
      <c r="B11" s="168">
        <f>SUM('Capital Costs'!C9:C23)+'Capital Costs'!A5</f>
        <v>33293230</v>
      </c>
      <c r="C11" s="23">
        <v>20</v>
      </c>
      <c r="D11" s="105">
        <f>IF(C11&gt;'Project Information'!$B$10,IFERROR(B11*((C11-'Project Information'!$B$10)/C11),0),0)</f>
        <v>0</v>
      </c>
    </row>
    <row r="12" spans="1:11" x14ac:dyDescent="0.25">
      <c r="A12" s="156" t="s">
        <v>300</v>
      </c>
      <c r="B12" s="163">
        <v>0</v>
      </c>
      <c r="C12" s="23">
        <v>0</v>
      </c>
      <c r="D12" s="105">
        <f>IF(C12&gt;'Project Information'!$B$10,IFERROR(B12*((C12-'Project Information'!$B$10)/C12),0),0)</f>
        <v>0</v>
      </c>
    </row>
    <row r="13" spans="1:11" x14ac:dyDescent="0.25">
      <c r="A13" s="156" t="s">
        <v>300</v>
      </c>
      <c r="B13" s="163">
        <v>0</v>
      </c>
      <c r="C13" s="23">
        <v>0</v>
      </c>
      <c r="D13" s="105">
        <f>IF(C13&gt;'Project Information'!$B$10,IFERROR(B13*((C13-'Project Information'!$B$10)/C13),0),0)</f>
        <v>0</v>
      </c>
    </row>
    <row r="14" spans="1:11" x14ac:dyDescent="0.25">
      <c r="A14" s="156" t="s">
        <v>300</v>
      </c>
      <c r="B14" s="163">
        <v>0</v>
      </c>
      <c r="C14" s="23">
        <v>0</v>
      </c>
      <c r="D14" s="105">
        <f>IF(C14&gt;'Project Information'!$B$10,IFERROR(B14*((C14-'Project Information'!$B$10)/C14),0),0)</f>
        <v>0</v>
      </c>
    </row>
    <row r="15" spans="1:11" x14ac:dyDescent="0.25">
      <c r="A15" s="156" t="s">
        <v>300</v>
      </c>
      <c r="B15" s="163">
        <v>0</v>
      </c>
      <c r="C15" s="23">
        <v>0</v>
      </c>
      <c r="D15" s="105">
        <f>IF(C15&gt;'Project Information'!$B$10,IFERROR(B15*((C15-'Project Information'!$B$10)/C15),0),0)</f>
        <v>0</v>
      </c>
    </row>
    <row r="16" spans="1:11" x14ac:dyDescent="0.25">
      <c r="A16" s="156" t="s">
        <v>300</v>
      </c>
      <c r="B16" s="163">
        <v>0</v>
      </c>
      <c r="C16" s="23">
        <v>0</v>
      </c>
      <c r="D16" s="105">
        <f>IF(C16&gt;'Project Information'!$B$10,IFERROR(B16*((C16-'Project Information'!$B$10)/C16),0),0)</f>
        <v>0</v>
      </c>
    </row>
    <row r="17" spans="1:52" x14ac:dyDescent="0.25">
      <c r="A17" s="3" t="s">
        <v>310</v>
      </c>
      <c r="B17" s="158"/>
      <c r="C17" s="159"/>
      <c r="D17" s="105">
        <f>SUM(D11:D16)</f>
        <v>0</v>
      </c>
    </row>
    <row r="18" spans="1:52" x14ac:dyDescent="0.25">
      <c r="A18" s="5" t="s">
        <v>205</v>
      </c>
    </row>
    <row r="19" spans="1:52" x14ac:dyDescent="0.25">
      <c r="A19" s="153" t="s">
        <v>335</v>
      </c>
      <c r="B19" s="153"/>
      <c r="C19" s="153"/>
      <c r="D19" s="153"/>
      <c r="E19" s="153"/>
      <c r="F19" s="153"/>
      <c r="G19" s="153"/>
    </row>
    <row r="20" spans="1:52" x14ac:dyDescent="0.25">
      <c r="A20" s="153" t="s">
        <v>315</v>
      </c>
      <c r="B20" s="153"/>
      <c r="C20" s="153"/>
      <c r="D20" s="153"/>
    </row>
    <row r="21" spans="1:52" ht="15.75" thickBot="1" x14ac:dyDescent="0.3">
      <c r="A21" s="97" t="s">
        <v>297</v>
      </c>
    </row>
    <row r="22" spans="1:52" x14ac:dyDescent="0.25">
      <c r="A22" s="107" t="s">
        <v>4</v>
      </c>
      <c r="B22" s="108" t="s">
        <v>20</v>
      </c>
      <c r="E22" s="10" t="s">
        <v>161</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2"/>
    </row>
    <row r="23" spans="1:52" x14ac:dyDescent="0.25">
      <c r="A23" s="6">
        <f>'Project Information'!$B$9</f>
        <v>2029</v>
      </c>
      <c r="B23" s="26">
        <f>IF(A23='Project Information'!$B$6+'Project Information'!$B$8+'Project Information'!$B$10+('Project Information'!$B$7-'Project Information'!$B$6-1),$D$17,0)</f>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25">
      <c r="A24" s="1">
        <f>IF(A23&lt;'Project Information'!B$11,A23+1,"")</f>
        <v>2030</v>
      </c>
      <c r="B24" s="26">
        <f>IF(A24='Project Information'!$B$6+'Project Information'!$B$8+'Project Information'!$B$10+('Project Information'!$B$7-'Project Information'!$B$6-1),$D$17,0)</f>
        <v>0</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25">
      <c r="A25" s="1">
        <f>IF(A24&lt;'Project Information'!B$11,A24+1,"")</f>
        <v>2031</v>
      </c>
      <c r="B25" s="26">
        <f>IF(A25='Project Information'!$B$6+'Project Information'!$B$8+'Project Information'!$B$10+('Project Information'!$B$7-'Project Information'!$B$6-1),$D$17,0)</f>
        <v>0</v>
      </c>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25">
      <c r="A26" s="1">
        <f>IF(A25&lt;'Project Information'!B$11,A25+1,"")</f>
        <v>2032</v>
      </c>
      <c r="B26" s="26">
        <f>IF(A26='Project Information'!$B$6+'Project Information'!$B$8+'Project Information'!$B$10+('Project Information'!$B$7-'Project Information'!$B$6-1),$D$17,0)</f>
        <v>0</v>
      </c>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25">
      <c r="A27" s="1">
        <f>IF(A26&lt;'Project Information'!B$11,A26+1,"")</f>
        <v>2033</v>
      </c>
      <c r="B27" s="26">
        <f>IF(A27='Project Information'!$B$6+'Project Information'!$B$8+'Project Information'!$B$10+('Project Information'!$B$7-'Project Information'!$B$6-1),$D$17,0)</f>
        <v>0</v>
      </c>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25">
      <c r="A28" s="1">
        <f>IF(A27&lt;'Project Information'!B$11,A27+1,"")</f>
        <v>2034</v>
      </c>
      <c r="B28" s="26">
        <f>IF(A28='Project Information'!$B$6+'Project Information'!$B$8+'Project Information'!$B$10+('Project Information'!$B$7-'Project Information'!$B$6-1),$D$17,0)</f>
        <v>0</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25">
      <c r="A29" s="1">
        <f>IF(A28&lt;'Project Information'!B$11,A28+1,"")</f>
        <v>2035</v>
      </c>
      <c r="B29" s="26">
        <f>IF(A29='Project Information'!$B$6+'Project Information'!$B$8+'Project Information'!$B$10+('Project Information'!$B$7-'Project Information'!$B$6-1),$D$17,0)</f>
        <v>0</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25">
      <c r="A30" s="1">
        <f>IF(A29&lt;'Project Information'!B$11,A29+1,"")</f>
        <v>2036</v>
      </c>
      <c r="B30" s="26">
        <f>IF(A30='Project Information'!$B$6+'Project Information'!$B$8+'Project Information'!$B$10+('Project Information'!$B$7-'Project Information'!$B$6-1),$D$17,0)</f>
        <v>0</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25">
      <c r="A31" s="1">
        <f>IF(A30&lt;'Project Information'!B$11,A30+1,"")</f>
        <v>2037</v>
      </c>
      <c r="B31" s="26">
        <f>IF(A31='Project Information'!$B$6+'Project Information'!$B$8+'Project Information'!$B$10+('Project Information'!$B$7-'Project Information'!$B$6-1),$D$17,0)</f>
        <v>0</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25">
      <c r="A32" s="1">
        <f>IF(A31&lt;'Project Information'!B$11,A31+1,"")</f>
        <v>2038</v>
      </c>
      <c r="B32" s="26">
        <f>IF(A32='Project Information'!$B$6+'Project Information'!$B$8+'Project Information'!$B$10+('Project Information'!$B$7-'Project Information'!$B$6-1),$D$17,0)</f>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25">
      <c r="A33" s="1">
        <f>IF(A32&lt;'Project Information'!B$11,A32+1,"")</f>
        <v>2039</v>
      </c>
      <c r="B33" s="26">
        <f>IF(A33='Project Information'!$B$6+'Project Information'!$B$8+'Project Information'!$B$10+('Project Information'!$B$7-'Project Information'!$B$6-1),$D$17,0)</f>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25">
      <c r="A34" s="1">
        <f>IF(A33&lt;'Project Information'!B$11,A33+1,"")</f>
        <v>2040</v>
      </c>
      <c r="B34" s="26">
        <f>IF(A34='Project Information'!$B$6+'Project Information'!$B$8+'Project Information'!$B$10+('Project Information'!$B$7-'Project Information'!$B$6-1),$D$17,0)</f>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25">
      <c r="A35" s="1">
        <f>IF(A34&lt;'Project Information'!B$11,A34+1,"")</f>
        <v>2041</v>
      </c>
      <c r="B35" s="26">
        <f>IF(A35='Project Information'!$B$6+'Project Information'!$B$8+'Project Information'!$B$10+('Project Information'!$B$7-'Project Information'!$B$6-1),$D$17,0)</f>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25">
      <c r="A36" s="1">
        <f>IF(A35&lt;'Project Information'!B$11,A35+1,"")</f>
        <v>2042</v>
      </c>
      <c r="B36" s="26">
        <f>IF(A36='Project Information'!$B$6+'Project Information'!$B$8+'Project Information'!$B$10+('Project Information'!$B$7-'Project Information'!$B$6-1),$D$17,0)</f>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25">
      <c r="A37" s="1">
        <f>IF(A36&lt;'Project Information'!B$11,A36+1,"")</f>
        <v>2043</v>
      </c>
      <c r="B37" s="26">
        <f>IF(A37='Project Information'!$B$6+'Project Information'!$B$8+'Project Information'!$B$10+('Project Information'!$B$7-'Project Information'!$B$6-1),$D$17,0)</f>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25">
      <c r="A38" s="1">
        <f>IF(A37&lt;'Project Information'!B$11,A37+1,"")</f>
        <v>2044</v>
      </c>
      <c r="B38" s="26">
        <f>IF(A38='Project Information'!$B$6+'Project Information'!$B$8+'Project Information'!$B$10+('Project Information'!$B$7-'Project Information'!$B$6-1),$D$17,0)</f>
        <v>0</v>
      </c>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25">
      <c r="A39" s="1">
        <f>IF(A38&lt;'Project Information'!B$11,A38+1,"")</f>
        <v>2045</v>
      </c>
      <c r="B39" s="26">
        <f>IF(A39='Project Information'!$B$6+'Project Information'!$B$8+'Project Information'!$B$10+('Project Information'!$B$7-'Project Information'!$B$6-1),$D$17,0)</f>
        <v>0</v>
      </c>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25">
      <c r="A40" s="1">
        <f>IF(A39&lt;'Project Information'!B$11,A39+1,"")</f>
        <v>2046</v>
      </c>
      <c r="B40" s="26">
        <f>IF(A40='Project Information'!$B$6+'Project Information'!$B$8+'Project Information'!$B$10+('Project Information'!$B$7-'Project Information'!$B$6-1),$D$17,0)</f>
        <v>0</v>
      </c>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25">
      <c r="A41" s="1">
        <f>IF(A40&lt;'Project Information'!B$11,A40+1,"")</f>
        <v>2047</v>
      </c>
      <c r="B41" s="26">
        <f>IF(A41='Project Information'!$B$6+'Project Information'!$B$8+'Project Information'!$B$10+('Project Information'!$B$7-'Project Information'!$B$6-1),$D$17,0)</f>
        <v>0</v>
      </c>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25">
      <c r="A42" s="1">
        <f>IF(A41&lt;'Project Information'!B$11,A41+1,"")</f>
        <v>2048</v>
      </c>
      <c r="B42" s="26">
        <f>IF(A42='Project Information'!$B$6+'Project Information'!$B$8+'Project Information'!$B$10+('Project Information'!$B$7-'Project Information'!$B$6-1),$D$17,0)</f>
        <v>0</v>
      </c>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25">
      <c r="A43" s="1" t="str">
        <f>IF(A42&lt;'Project Information'!B$11,A42+1,"")</f>
        <v/>
      </c>
      <c r="B43" s="26">
        <f>IF(A43='Project Information'!$B$6+'Project Information'!$B$8+'Project Information'!$B$10+('Project Information'!$B$7-'Project Information'!$B$6-1),$D$17,0)</f>
        <v>0</v>
      </c>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25">
      <c r="A44" s="1" t="str">
        <f>IF(A43&lt;'Project Information'!B$11,A43+1,"")</f>
        <v/>
      </c>
      <c r="B44" s="26">
        <f>IF(A44='Project Information'!$B$6+'Project Information'!$B$8+'Project Information'!$B$10+('Project Information'!$B$7-'Project Information'!$B$6-1),$D$17,0)</f>
        <v>0</v>
      </c>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25">
      <c r="A45" s="1" t="str">
        <f>IF(A44&lt;'Project Information'!B$11,A44+1,"")</f>
        <v/>
      </c>
      <c r="B45" s="26">
        <f>IF(A45='Project Information'!$B$6+'Project Information'!$B$8+'Project Information'!$B$10+('Project Information'!$B$7-'Project Information'!$B$6-1),$D$17,0)</f>
        <v>0</v>
      </c>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25">
      <c r="A46" s="1" t="str">
        <f>IF(A45&lt;'Project Information'!B$11,A45+1,"")</f>
        <v/>
      </c>
      <c r="B46" s="26">
        <f>IF(A46='Project Information'!$B$6+'Project Information'!$B$8+'Project Information'!$B$10+('Project Information'!$B$7-'Project Information'!$B$6-1),$D$17,0)</f>
        <v>0</v>
      </c>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25">
      <c r="A47" s="1" t="str">
        <f>IF(A46&lt;'Project Information'!B$11,A46+1,"")</f>
        <v/>
      </c>
      <c r="B47" s="26">
        <f>IF(A47='Project Information'!$B$6+'Project Information'!$B$8+'Project Information'!$B$10+('Project Information'!$B$7-'Project Information'!$B$6-1),$D$17,0)</f>
        <v>0</v>
      </c>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25">
      <c r="A48" s="1" t="str">
        <f>IF(A47&lt;'Project Information'!B$11,A47+1,"")</f>
        <v/>
      </c>
      <c r="B48" s="26">
        <f>IF(A48='Project Information'!$B$6+'Project Information'!$B$8+'Project Information'!$B$10+('Project Information'!$B$7-'Project Information'!$B$6-1),$D$17,0)</f>
        <v>0</v>
      </c>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1:52" x14ac:dyDescent="0.25">
      <c r="A49" s="1" t="str">
        <f>IF(A48&lt;'Project Information'!B$11,A48+1,"")</f>
        <v/>
      </c>
      <c r="B49" s="26">
        <f>IF(A49='Project Information'!$B$6+'Project Information'!$B$8+'Project Information'!$B$10+('Project Information'!$B$7-'Project Information'!$B$6-1),$D$17,0)</f>
        <v>0</v>
      </c>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1:52" x14ac:dyDescent="0.25">
      <c r="A50" s="1" t="str">
        <f>IF(A49&lt;'Project Information'!B$11,A49+1,"")</f>
        <v/>
      </c>
      <c r="B50" s="26">
        <f>IF(A50='Project Information'!$B$6+'Project Information'!$B$8+'Project Information'!$B$10+('Project Information'!$B$7-'Project Information'!$B$6-1),$D$17,0)</f>
        <v>0</v>
      </c>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1:52" x14ac:dyDescent="0.25">
      <c r="A51" s="1" t="str">
        <f>IF(A50&lt;'Project Information'!B$11,A50+1,"")</f>
        <v/>
      </c>
      <c r="B51" s="26">
        <f>IF(A51='Project Information'!$B$6+'Project Information'!$B$8+'Project Information'!$B$10+('Project Information'!$B$7-'Project Information'!$B$6-1),$D$17,0)</f>
        <v>0</v>
      </c>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1:52" x14ac:dyDescent="0.25">
      <c r="A52" s="2" t="str">
        <f>IF(A51&lt;'Project Information'!B$11,A51+1,"")</f>
        <v/>
      </c>
      <c r="B52" s="165">
        <f>IF(A52='Project Information'!$B$6+'Project Information'!$B$8+'Project Information'!$B$10+('Project Information'!$B$7-'Project Information'!$B$6-1),$D$17,0)</f>
        <v>0</v>
      </c>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1:52" x14ac:dyDescent="0.2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1:52" x14ac:dyDescent="0.2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1:52" x14ac:dyDescent="0.2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1:52" x14ac:dyDescent="0.2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1:52" x14ac:dyDescent="0.2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1:52" x14ac:dyDescent="0.2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1:52" x14ac:dyDescent="0.2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1:52" x14ac:dyDescent="0.2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1:52" x14ac:dyDescent="0.2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1:52" x14ac:dyDescent="0.2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1:52" x14ac:dyDescent="0.2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1:52" x14ac:dyDescent="0.2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2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2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2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2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2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2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2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2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2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2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2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2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2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2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2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2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2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2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2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2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2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2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x14ac:dyDescent="0.25">
      <c r="E87" s="13"/>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s="14"/>
    </row>
    <row r="88" spans="5:52" x14ac:dyDescent="0.25">
      <c r="E88" s="13"/>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s="14"/>
    </row>
    <row r="89" spans="5:52" x14ac:dyDescent="0.25">
      <c r="E89" s="13"/>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s="14"/>
    </row>
    <row r="90" spans="5:52" x14ac:dyDescent="0.25">
      <c r="E90" s="13"/>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s="14"/>
    </row>
    <row r="91" spans="5:52" x14ac:dyDescent="0.25">
      <c r="E91" s="13"/>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s="14"/>
    </row>
    <row r="92" spans="5:52" x14ac:dyDescent="0.25">
      <c r="E92" s="13"/>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s="14"/>
    </row>
    <row r="93" spans="5:52" x14ac:dyDescent="0.25">
      <c r="E93" s="1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s="14"/>
    </row>
    <row r="94" spans="5:52" x14ac:dyDescent="0.25">
      <c r="E94" s="13"/>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s="14"/>
    </row>
    <row r="95" spans="5:52" x14ac:dyDescent="0.25">
      <c r="E95" s="13"/>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s="14"/>
    </row>
    <row r="96" spans="5:52" x14ac:dyDescent="0.25">
      <c r="E96" s="13"/>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s="14"/>
    </row>
    <row r="97" spans="5:52" x14ac:dyDescent="0.25">
      <c r="E97" s="13"/>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s="14"/>
    </row>
    <row r="98" spans="5:52" x14ac:dyDescent="0.25">
      <c r="E98" s="13"/>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s="14"/>
    </row>
    <row r="99" spans="5:52" x14ac:dyDescent="0.25">
      <c r="E99" s="13"/>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s="14"/>
    </row>
    <row r="100" spans="5:52" x14ac:dyDescent="0.25">
      <c r="E100" s="13"/>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s="14"/>
    </row>
    <row r="101" spans="5:52" x14ac:dyDescent="0.25">
      <c r="E101" s="13"/>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s="14"/>
    </row>
    <row r="102" spans="5:52" ht="15.75" thickBot="1" x14ac:dyDescent="0.3">
      <c r="E102" s="15"/>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7"/>
    </row>
  </sheetData>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id="{DF3C72DF-52D5-440E-BE83-E16345A5E25E}">
            <xm:f>A23='Project Information'!$B$11</xm:f>
            <x14:dxf>
              <font>
                <b val="0"/>
                <i/>
                <u val="none"/>
              </font>
              <fill>
                <patternFill>
                  <bgColor theme="4" tint="0.39994506668294322"/>
                </patternFill>
              </fill>
            </x14:dxf>
          </x14:cfRule>
          <xm:sqref>B23:B52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188FB-EB92-4A38-827B-94B87D879DDC}">
  <sheetPr>
    <tabColor theme="9" tint="0.39997558519241921"/>
  </sheetPr>
  <dimension ref="A1:AZ87"/>
  <sheetViews>
    <sheetView workbookViewId="0">
      <selection activeCell="A5" sqref="A5"/>
    </sheetView>
  </sheetViews>
  <sheetFormatPr defaultColWidth="9.140625" defaultRowHeight="15" x14ac:dyDescent="0.25"/>
  <cols>
    <col min="1" max="1" width="26.140625" style="5" customWidth="1"/>
    <col min="2" max="2" width="40.7109375" style="5" customWidth="1"/>
    <col min="3" max="16384" width="9.140625" style="5"/>
  </cols>
  <sheetData>
    <row r="1" spans="1:52" ht="20.25" thickBot="1" x14ac:dyDescent="0.35">
      <c r="A1" s="96" t="s">
        <v>15</v>
      </c>
    </row>
    <row r="2" spans="1:52" ht="15.75" thickTop="1" x14ac:dyDescent="0.25">
      <c r="A2" s="152" t="s">
        <v>239</v>
      </c>
      <c r="B2" s="152"/>
      <c r="C2" s="152"/>
      <c r="D2" s="152"/>
    </row>
    <row r="3" spans="1:52" x14ac:dyDescent="0.25">
      <c r="A3" s="5" t="s">
        <v>205</v>
      </c>
    </row>
    <row r="4" spans="1:52" x14ac:dyDescent="0.25">
      <c r="A4" s="153" t="s">
        <v>354</v>
      </c>
      <c r="B4" s="152"/>
      <c r="C4" s="152"/>
      <c r="D4" s="152"/>
      <c r="E4" s="152"/>
      <c r="F4" s="152"/>
      <c r="G4" s="152"/>
      <c r="H4" s="152"/>
      <c r="I4" s="152"/>
      <c r="J4" s="152"/>
      <c r="K4" s="152"/>
      <c r="L4" s="152"/>
      <c r="M4" s="152"/>
    </row>
    <row r="5" spans="1:52" x14ac:dyDescent="0.25">
      <c r="A5" s="5" t="s">
        <v>205</v>
      </c>
    </row>
    <row r="6" spans="1:52" ht="15.75" thickBot="1" x14ac:dyDescent="0.3">
      <c r="A6" s="97" t="s">
        <v>252</v>
      </c>
    </row>
    <row r="7" spans="1:52" x14ac:dyDescent="0.25">
      <c r="A7" s="107" t="s">
        <v>4</v>
      </c>
      <c r="B7" s="24" t="s">
        <v>15</v>
      </c>
      <c r="C7" s="5" t="s">
        <v>159</v>
      </c>
      <c r="E7" s="10" t="s">
        <v>161</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2"/>
    </row>
    <row r="8" spans="1:52" x14ac:dyDescent="0.25">
      <c r="A8" s="6">
        <f>'Project Information'!$B$9</f>
        <v>2029</v>
      </c>
      <c r="B8" s="164">
        <v>0</v>
      </c>
      <c r="E8" s="13"/>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s="14"/>
    </row>
    <row r="9" spans="1:52" x14ac:dyDescent="0.25">
      <c r="A9" s="1">
        <f>IF(A8&lt;'Project Information'!B$11,A8+1,"")</f>
        <v>2030</v>
      </c>
      <c r="B9" s="164">
        <v>0</v>
      </c>
      <c r="E9" s="13"/>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s="14"/>
    </row>
    <row r="10" spans="1:52" x14ac:dyDescent="0.25">
      <c r="A10" s="1">
        <f>IF(A9&lt;'Project Information'!B$11,A9+1,"")</f>
        <v>2031</v>
      </c>
      <c r="B10" s="164">
        <v>0</v>
      </c>
      <c r="E10" s="13"/>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s="14"/>
    </row>
    <row r="11" spans="1:52" x14ac:dyDescent="0.25">
      <c r="A11" s="1">
        <f>IF(A10&lt;'Project Information'!B$11,A10+1,"")</f>
        <v>2032</v>
      </c>
      <c r="B11" s="164">
        <v>0</v>
      </c>
      <c r="E11" s="13"/>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s="14"/>
    </row>
    <row r="12" spans="1:52" x14ac:dyDescent="0.25">
      <c r="A12" s="1">
        <f>IF(A11&lt;'Project Information'!B$11,A11+1,"")</f>
        <v>2033</v>
      </c>
      <c r="B12" s="164">
        <v>0</v>
      </c>
      <c r="E12" s="13"/>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4"/>
    </row>
    <row r="13" spans="1:52" x14ac:dyDescent="0.25">
      <c r="A13" s="1">
        <f>IF(A12&lt;'Project Information'!B$11,A12+1,"")</f>
        <v>2034</v>
      </c>
      <c r="B13" s="164">
        <v>0</v>
      </c>
      <c r="E13" s="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4"/>
    </row>
    <row r="14" spans="1:52" x14ac:dyDescent="0.25">
      <c r="A14" s="1">
        <f>IF(A13&lt;'Project Information'!B$11,A13+1,"")</f>
        <v>2035</v>
      </c>
      <c r="B14" s="164">
        <v>0</v>
      </c>
      <c r="E14" s="13"/>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4"/>
    </row>
    <row r="15" spans="1:52" x14ac:dyDescent="0.25">
      <c r="A15" s="1">
        <f>IF(A14&lt;'Project Information'!B$11,A14+1,"")</f>
        <v>2036</v>
      </c>
      <c r="B15" s="164">
        <v>0</v>
      </c>
      <c r="E15" s="1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25">
      <c r="A16" s="1">
        <f>IF(A15&lt;'Project Information'!B$11,A15+1,"")</f>
        <v>2037</v>
      </c>
      <c r="B16" s="164">
        <v>0</v>
      </c>
      <c r="E16" s="1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25">
      <c r="A17" s="1">
        <f>IF(A16&lt;'Project Information'!B$11,A16+1,"")</f>
        <v>2038</v>
      </c>
      <c r="B17" s="164">
        <v>0</v>
      </c>
      <c r="E17" s="13"/>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25">
      <c r="A18" s="1">
        <f>IF(A17&lt;'Project Information'!B$11,A17+1,"")</f>
        <v>2039</v>
      </c>
      <c r="B18" s="164">
        <v>0</v>
      </c>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25">
      <c r="A19" s="1">
        <f>IF(A18&lt;'Project Information'!B$11,A18+1,"")</f>
        <v>2040</v>
      </c>
      <c r="B19" s="164">
        <v>0</v>
      </c>
      <c r="E19" s="13"/>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25">
      <c r="A20" s="1">
        <f>IF(A19&lt;'Project Information'!B$11,A19+1,"")</f>
        <v>2041</v>
      </c>
      <c r="B20" s="164">
        <v>0</v>
      </c>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25">
      <c r="A21" s="1">
        <f>IF(A20&lt;'Project Information'!B$11,A20+1,"")</f>
        <v>2042</v>
      </c>
      <c r="B21" s="164">
        <v>0</v>
      </c>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25">
      <c r="A22" s="1">
        <f>IF(A21&lt;'Project Information'!B$11,A21+1,"")</f>
        <v>2043</v>
      </c>
      <c r="B22" s="164">
        <v>0</v>
      </c>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25">
      <c r="A23" s="1">
        <f>IF(A22&lt;'Project Information'!B$11,A22+1,"")</f>
        <v>2044</v>
      </c>
      <c r="B23" s="164">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25">
      <c r="A24" s="1">
        <f>IF(A23&lt;'Project Information'!B$11,A23+1,"")</f>
        <v>2045</v>
      </c>
      <c r="B24" s="164">
        <v>0</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25">
      <c r="A25" s="1">
        <f>IF(A24&lt;'Project Information'!B$11,A24+1,"")</f>
        <v>2046</v>
      </c>
      <c r="B25" s="164">
        <v>0</v>
      </c>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25">
      <c r="A26" s="1">
        <f>IF(A25&lt;'Project Information'!B$11,A25+1,"")</f>
        <v>2047</v>
      </c>
      <c r="B26" s="164">
        <v>0</v>
      </c>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25">
      <c r="A27" s="1">
        <f>IF(A26&lt;'Project Information'!B$11,A26+1,"")</f>
        <v>2048</v>
      </c>
      <c r="B27" s="164">
        <v>0</v>
      </c>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25">
      <c r="A28" s="1" t="str">
        <f>IF(A27&lt;'Project Information'!B$11,A27+1,"")</f>
        <v/>
      </c>
      <c r="B28" s="164">
        <v>0</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25">
      <c r="A29" s="1" t="str">
        <f>IF(A28&lt;'Project Information'!B$11,A28+1,"")</f>
        <v/>
      </c>
      <c r="B29" s="164">
        <v>0</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25">
      <c r="A30" s="1" t="str">
        <f>IF(A29&lt;'Project Information'!B$11,A29+1,"")</f>
        <v/>
      </c>
      <c r="B30" s="164">
        <v>0</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25">
      <c r="A31" s="1" t="str">
        <f>IF(A30&lt;'Project Information'!B$11,A30+1,"")</f>
        <v/>
      </c>
      <c r="B31" s="164">
        <v>0</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25">
      <c r="A32" s="1" t="str">
        <f>IF(A31&lt;'Project Information'!B$11,A31+1,"")</f>
        <v/>
      </c>
      <c r="B32" s="164">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25">
      <c r="A33" s="1" t="str">
        <f>IF(A32&lt;'Project Information'!B$11,A32+1,"")</f>
        <v/>
      </c>
      <c r="B33" s="164">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25">
      <c r="A34" s="1" t="str">
        <f>IF(A33&lt;'Project Information'!B$11,A33+1,"")</f>
        <v/>
      </c>
      <c r="B34" s="164">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25">
      <c r="A35" s="1" t="str">
        <f>IF(A34&lt;'Project Information'!B$11,A34+1,"")</f>
        <v/>
      </c>
      <c r="B35" s="164">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25">
      <c r="A36" s="1" t="str">
        <f>IF(A35&lt;'Project Information'!B$11,A35+1,"")</f>
        <v/>
      </c>
      <c r="B36" s="164">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25">
      <c r="A37" s="2" t="str">
        <f>IF(A36&lt;'Project Information'!B$11,A36+1,"")</f>
        <v/>
      </c>
      <c r="B37" s="120">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25">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25">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25">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25">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25">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25">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25">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25">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25">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25">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25">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25">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25">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25">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25">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2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2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2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2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2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2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2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2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2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2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2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2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2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2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2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2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2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2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2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2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2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2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2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2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2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2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2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2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2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2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2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2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2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2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ht="15.75" thickBot="1" x14ac:dyDescent="0.3">
      <c r="E87" s="15"/>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7"/>
    </row>
  </sheetData>
  <conditionalFormatting sqref="B8:B37">
    <cfRule type="expression" dxfId="4" priority="1">
      <formula>A8=""</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758C-DD7B-441C-AA2D-42F280A3896C}">
  <sheetPr>
    <tabColor theme="9" tint="0.39997558519241921"/>
  </sheetPr>
  <dimension ref="A1:AZ87"/>
  <sheetViews>
    <sheetView workbookViewId="0">
      <selection activeCell="A5" sqref="A5"/>
    </sheetView>
  </sheetViews>
  <sheetFormatPr defaultColWidth="9.140625" defaultRowHeight="15" x14ac:dyDescent="0.25"/>
  <cols>
    <col min="1" max="1" width="26" style="5" customWidth="1"/>
    <col min="2" max="2" width="40.7109375" style="5" customWidth="1"/>
    <col min="3" max="16384" width="9.140625" style="5"/>
  </cols>
  <sheetData>
    <row r="1" spans="1:52" ht="20.25" thickBot="1" x14ac:dyDescent="0.35">
      <c r="A1" s="96" t="s">
        <v>16</v>
      </c>
    </row>
    <row r="2" spans="1:52" ht="15.75" thickTop="1" x14ac:dyDescent="0.25">
      <c r="A2" s="152" t="s">
        <v>239</v>
      </c>
      <c r="B2" s="152"/>
      <c r="C2" s="152"/>
    </row>
    <row r="3" spans="1:52" x14ac:dyDescent="0.25">
      <c r="A3" s="5" t="s">
        <v>205</v>
      </c>
    </row>
    <row r="4" spans="1:52" x14ac:dyDescent="0.25">
      <c r="A4" s="153" t="s">
        <v>354</v>
      </c>
      <c r="B4" s="152"/>
      <c r="C4" s="152"/>
      <c r="D4" s="152"/>
      <c r="E4" s="152"/>
      <c r="F4" s="152"/>
      <c r="G4" s="152"/>
      <c r="H4" s="152"/>
      <c r="I4" s="152"/>
      <c r="J4" s="152"/>
      <c r="K4" s="152"/>
      <c r="L4" s="152"/>
    </row>
    <row r="5" spans="1:52" x14ac:dyDescent="0.25">
      <c r="A5" s="5" t="s">
        <v>205</v>
      </c>
    </row>
    <row r="6" spans="1:52" ht="15.75" thickBot="1" x14ac:dyDescent="0.3">
      <c r="A6" s="97" t="s">
        <v>252</v>
      </c>
    </row>
    <row r="7" spans="1:52" x14ac:dyDescent="0.25">
      <c r="A7" s="107" t="s">
        <v>4</v>
      </c>
      <c r="B7" s="24" t="s">
        <v>16</v>
      </c>
      <c r="C7" s="5" t="s">
        <v>159</v>
      </c>
      <c r="E7" s="10" t="s">
        <v>161</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2"/>
    </row>
    <row r="8" spans="1:52" x14ac:dyDescent="0.25">
      <c r="A8" s="6">
        <f>'Project Information'!$B$9</f>
        <v>2029</v>
      </c>
      <c r="B8" s="164">
        <v>0</v>
      </c>
      <c r="E8" s="13"/>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s="14"/>
    </row>
    <row r="9" spans="1:52" x14ac:dyDescent="0.25">
      <c r="A9" s="1">
        <f>IF(A8&lt;'Project Information'!B$11,A8+1,"")</f>
        <v>2030</v>
      </c>
      <c r="B9" s="164">
        <v>0</v>
      </c>
      <c r="E9" s="13"/>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s="14"/>
    </row>
    <row r="10" spans="1:52" x14ac:dyDescent="0.25">
      <c r="A10" s="1">
        <f>IF(A9&lt;'Project Information'!B$11,A9+1,"")</f>
        <v>2031</v>
      </c>
      <c r="B10" s="164">
        <v>0</v>
      </c>
      <c r="E10" s="13"/>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s="14"/>
    </row>
    <row r="11" spans="1:52" x14ac:dyDescent="0.25">
      <c r="A11" s="1">
        <f>IF(A10&lt;'Project Information'!B$11,A10+1,"")</f>
        <v>2032</v>
      </c>
      <c r="B11" s="164">
        <v>0</v>
      </c>
      <c r="E11" s="13"/>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s="14"/>
    </row>
    <row r="12" spans="1:52" x14ac:dyDescent="0.25">
      <c r="A12" s="1">
        <f>IF(A11&lt;'Project Information'!B$11,A11+1,"")</f>
        <v>2033</v>
      </c>
      <c r="B12" s="164">
        <v>0</v>
      </c>
      <c r="E12" s="13"/>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4"/>
    </row>
    <row r="13" spans="1:52" x14ac:dyDescent="0.25">
      <c r="A13" s="1">
        <f>IF(A12&lt;'Project Information'!B$11,A12+1,"")</f>
        <v>2034</v>
      </c>
      <c r="B13" s="164">
        <v>0</v>
      </c>
      <c r="E13" s="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4"/>
    </row>
    <row r="14" spans="1:52" x14ac:dyDescent="0.25">
      <c r="A14" s="1">
        <f>IF(A13&lt;'Project Information'!B$11,A13+1,"")</f>
        <v>2035</v>
      </c>
      <c r="B14" s="164">
        <v>0</v>
      </c>
      <c r="E14" s="13"/>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4"/>
    </row>
    <row r="15" spans="1:52" x14ac:dyDescent="0.25">
      <c r="A15" s="1">
        <f>IF(A14&lt;'Project Information'!B$11,A14+1,"")</f>
        <v>2036</v>
      </c>
      <c r="B15" s="164">
        <v>0</v>
      </c>
      <c r="E15" s="1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25">
      <c r="A16" s="1">
        <f>IF(A15&lt;'Project Information'!B$11,A15+1,"")</f>
        <v>2037</v>
      </c>
      <c r="B16" s="164">
        <v>0</v>
      </c>
      <c r="E16" s="1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25">
      <c r="A17" s="1">
        <f>IF(A16&lt;'Project Information'!B$11,A16+1,"")</f>
        <v>2038</v>
      </c>
      <c r="B17" s="164">
        <v>0</v>
      </c>
      <c r="E17" s="13"/>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25">
      <c r="A18" s="1">
        <f>IF(A17&lt;'Project Information'!B$11,A17+1,"")</f>
        <v>2039</v>
      </c>
      <c r="B18" s="164">
        <v>0</v>
      </c>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25">
      <c r="A19" s="1">
        <f>IF(A18&lt;'Project Information'!B$11,A18+1,"")</f>
        <v>2040</v>
      </c>
      <c r="B19" s="164">
        <v>0</v>
      </c>
      <c r="E19" s="13"/>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25">
      <c r="A20" s="1">
        <f>IF(A19&lt;'Project Information'!B$11,A19+1,"")</f>
        <v>2041</v>
      </c>
      <c r="B20" s="164">
        <v>0</v>
      </c>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25">
      <c r="A21" s="1">
        <f>IF(A20&lt;'Project Information'!B$11,A20+1,"")</f>
        <v>2042</v>
      </c>
      <c r="B21" s="164">
        <v>0</v>
      </c>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25">
      <c r="A22" s="1">
        <f>IF(A21&lt;'Project Information'!B$11,A21+1,"")</f>
        <v>2043</v>
      </c>
      <c r="B22" s="164">
        <v>0</v>
      </c>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25">
      <c r="A23" s="1">
        <f>IF(A22&lt;'Project Information'!B$11,A22+1,"")</f>
        <v>2044</v>
      </c>
      <c r="B23" s="164">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25">
      <c r="A24" s="1">
        <f>IF(A23&lt;'Project Information'!B$11,A23+1,"")</f>
        <v>2045</v>
      </c>
      <c r="B24" s="164">
        <v>0</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25">
      <c r="A25" s="1">
        <f>IF(A24&lt;'Project Information'!B$11,A24+1,"")</f>
        <v>2046</v>
      </c>
      <c r="B25" s="164">
        <v>0</v>
      </c>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25">
      <c r="A26" s="1">
        <f>IF(A25&lt;'Project Information'!B$11,A25+1,"")</f>
        <v>2047</v>
      </c>
      <c r="B26" s="164">
        <v>0</v>
      </c>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25">
      <c r="A27" s="1">
        <f>IF(A26&lt;'Project Information'!B$11,A26+1,"")</f>
        <v>2048</v>
      </c>
      <c r="B27" s="164">
        <v>0</v>
      </c>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25">
      <c r="A28" s="1" t="str">
        <f>IF(A27&lt;'Project Information'!B$11,A27+1,"")</f>
        <v/>
      </c>
      <c r="B28" s="164">
        <v>0</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25">
      <c r="A29" s="1" t="str">
        <f>IF(A28&lt;'Project Information'!B$11,A28+1,"")</f>
        <v/>
      </c>
      <c r="B29" s="164">
        <v>0</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25">
      <c r="A30" s="1" t="str">
        <f>IF(A29&lt;'Project Information'!B$11,A29+1,"")</f>
        <v/>
      </c>
      <c r="B30" s="164">
        <v>0</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25">
      <c r="A31" s="1" t="str">
        <f>IF(A30&lt;'Project Information'!B$11,A30+1,"")</f>
        <v/>
      </c>
      <c r="B31" s="164">
        <v>0</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25">
      <c r="A32" s="1" t="str">
        <f>IF(A31&lt;'Project Information'!B$11,A31+1,"")</f>
        <v/>
      </c>
      <c r="B32" s="164">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25">
      <c r="A33" s="1" t="str">
        <f>IF(A32&lt;'Project Information'!B$11,A32+1,"")</f>
        <v/>
      </c>
      <c r="B33" s="164">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25">
      <c r="A34" s="1" t="str">
        <f>IF(A33&lt;'Project Information'!B$11,A33+1,"")</f>
        <v/>
      </c>
      <c r="B34" s="164">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25">
      <c r="A35" s="1" t="str">
        <f>IF(A34&lt;'Project Information'!B$11,A34+1,"")</f>
        <v/>
      </c>
      <c r="B35" s="164">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25">
      <c r="A36" s="1" t="str">
        <f>IF(A35&lt;'Project Information'!B$11,A35+1,"")</f>
        <v/>
      </c>
      <c r="B36" s="164">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25">
      <c r="A37" s="2" t="str">
        <f>IF(A36&lt;'Project Information'!B$11,A36+1,"")</f>
        <v/>
      </c>
      <c r="B37" s="120">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25">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25">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25">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25">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25">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25">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25">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25">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25">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25">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25">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25">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25">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25">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25">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2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2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2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2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2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2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2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2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2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2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2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2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2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2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2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2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2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2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2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2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2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2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2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2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2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2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2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2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2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2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2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2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2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2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ht="15.75" thickBot="1" x14ac:dyDescent="0.3">
      <c r="E87" s="15"/>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7"/>
    </row>
  </sheetData>
  <conditionalFormatting sqref="B8:B37">
    <cfRule type="expression" dxfId="3" priority="1">
      <formula>A8=""</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E6E43-6B22-4737-8E2E-57A059E7E54E}">
  <sheetPr>
    <tabColor theme="9" tint="0.39997558519241921"/>
  </sheetPr>
  <dimension ref="A1:AZ87"/>
  <sheetViews>
    <sheetView workbookViewId="0">
      <selection activeCell="A5" sqref="A5"/>
    </sheetView>
  </sheetViews>
  <sheetFormatPr defaultColWidth="9.140625" defaultRowHeight="15" x14ac:dyDescent="0.25"/>
  <cols>
    <col min="1" max="1" width="25.85546875" style="5" customWidth="1"/>
    <col min="2" max="2" width="40.7109375" style="5" customWidth="1"/>
    <col min="3" max="16384" width="9.140625" style="5"/>
  </cols>
  <sheetData>
    <row r="1" spans="1:52" ht="20.25" thickBot="1" x14ac:dyDescent="0.35">
      <c r="A1" s="96" t="s">
        <v>17</v>
      </c>
    </row>
    <row r="2" spans="1:52" ht="15.75" thickTop="1" x14ac:dyDescent="0.25">
      <c r="A2" s="152" t="s">
        <v>239</v>
      </c>
      <c r="B2" s="152"/>
      <c r="C2" s="152"/>
    </row>
    <row r="3" spans="1:52" x14ac:dyDescent="0.25">
      <c r="A3" s="5" t="s">
        <v>205</v>
      </c>
    </row>
    <row r="4" spans="1:52" x14ac:dyDescent="0.25">
      <c r="A4" s="153" t="s">
        <v>354</v>
      </c>
      <c r="B4" s="152"/>
      <c r="C4" s="152"/>
      <c r="D4" s="152"/>
      <c r="E4" s="152"/>
      <c r="F4" s="152"/>
      <c r="G4" s="152"/>
      <c r="H4" s="152"/>
      <c r="I4" s="152"/>
      <c r="J4" s="152"/>
      <c r="K4" s="152"/>
      <c r="L4" s="152"/>
    </row>
    <row r="5" spans="1:52" x14ac:dyDescent="0.25">
      <c r="A5" s="5" t="s">
        <v>205</v>
      </c>
    </row>
    <row r="6" spans="1:52" ht="15.75" thickBot="1" x14ac:dyDescent="0.3">
      <c r="A6" s="97" t="s">
        <v>252</v>
      </c>
    </row>
    <row r="7" spans="1:52" x14ac:dyDescent="0.25">
      <c r="A7" s="107" t="s">
        <v>4</v>
      </c>
      <c r="B7" s="24" t="s">
        <v>17</v>
      </c>
      <c r="C7" s="5" t="s">
        <v>159</v>
      </c>
      <c r="E7" s="10" t="s">
        <v>161</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2"/>
    </row>
    <row r="8" spans="1:52" x14ac:dyDescent="0.25">
      <c r="A8" s="6">
        <f>'Project Information'!$B$9</f>
        <v>2029</v>
      </c>
      <c r="B8" s="164">
        <v>0</v>
      </c>
      <c r="E8" s="13"/>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s="14"/>
    </row>
    <row r="9" spans="1:52" x14ac:dyDescent="0.25">
      <c r="A9" s="1">
        <f>IF(A8&lt;'Project Information'!B$11,A8+1,"")</f>
        <v>2030</v>
      </c>
      <c r="B9" s="164">
        <v>0</v>
      </c>
      <c r="E9" s="13"/>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s="14"/>
    </row>
    <row r="10" spans="1:52" x14ac:dyDescent="0.25">
      <c r="A10" s="1">
        <f>IF(A9&lt;'Project Information'!B$11,A9+1,"")</f>
        <v>2031</v>
      </c>
      <c r="B10" s="164">
        <v>0</v>
      </c>
      <c r="E10" s="13"/>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s="14"/>
    </row>
    <row r="11" spans="1:52" x14ac:dyDescent="0.25">
      <c r="A11" s="1">
        <f>IF(A10&lt;'Project Information'!B$11,A10+1,"")</f>
        <v>2032</v>
      </c>
      <c r="B11" s="164">
        <v>0</v>
      </c>
      <c r="E11" s="13"/>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s="14"/>
    </row>
    <row r="12" spans="1:52" x14ac:dyDescent="0.25">
      <c r="A12" s="1">
        <f>IF(A11&lt;'Project Information'!B$11,A11+1,"")</f>
        <v>2033</v>
      </c>
      <c r="B12" s="164">
        <v>0</v>
      </c>
      <c r="E12" s="13"/>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4"/>
    </row>
    <row r="13" spans="1:52" x14ac:dyDescent="0.25">
      <c r="A13" s="1">
        <f>IF(A12&lt;'Project Information'!B$11,A12+1,"")</f>
        <v>2034</v>
      </c>
      <c r="B13" s="164">
        <v>0</v>
      </c>
      <c r="E13" s="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4"/>
    </row>
    <row r="14" spans="1:52" x14ac:dyDescent="0.25">
      <c r="A14" s="1">
        <f>IF(A13&lt;'Project Information'!B$11,A13+1,"")</f>
        <v>2035</v>
      </c>
      <c r="B14" s="164">
        <v>0</v>
      </c>
      <c r="E14" s="13"/>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4"/>
    </row>
    <row r="15" spans="1:52" x14ac:dyDescent="0.25">
      <c r="A15" s="1">
        <f>IF(A14&lt;'Project Information'!B$11,A14+1,"")</f>
        <v>2036</v>
      </c>
      <c r="B15" s="164">
        <v>0</v>
      </c>
      <c r="E15" s="1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25">
      <c r="A16" s="1">
        <f>IF(A15&lt;'Project Information'!B$11,A15+1,"")</f>
        <v>2037</v>
      </c>
      <c r="B16" s="164">
        <v>0</v>
      </c>
      <c r="E16" s="1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25">
      <c r="A17" s="1">
        <f>IF(A16&lt;'Project Information'!B$11,A16+1,"")</f>
        <v>2038</v>
      </c>
      <c r="B17" s="164">
        <v>0</v>
      </c>
      <c r="E17" s="13"/>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25">
      <c r="A18" s="1">
        <f>IF(A17&lt;'Project Information'!B$11,A17+1,"")</f>
        <v>2039</v>
      </c>
      <c r="B18" s="164">
        <v>0</v>
      </c>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25">
      <c r="A19" s="1">
        <f>IF(A18&lt;'Project Information'!B$11,A18+1,"")</f>
        <v>2040</v>
      </c>
      <c r="B19" s="164">
        <v>0</v>
      </c>
      <c r="E19" s="13"/>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25">
      <c r="A20" s="1">
        <f>IF(A19&lt;'Project Information'!B$11,A19+1,"")</f>
        <v>2041</v>
      </c>
      <c r="B20" s="164">
        <v>0</v>
      </c>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25">
      <c r="A21" s="1">
        <f>IF(A20&lt;'Project Information'!B$11,A20+1,"")</f>
        <v>2042</v>
      </c>
      <c r="B21" s="164">
        <v>0</v>
      </c>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25">
      <c r="A22" s="1">
        <f>IF(A21&lt;'Project Information'!B$11,A21+1,"")</f>
        <v>2043</v>
      </c>
      <c r="B22" s="164">
        <v>0</v>
      </c>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25">
      <c r="A23" s="1">
        <f>IF(A22&lt;'Project Information'!B$11,A22+1,"")</f>
        <v>2044</v>
      </c>
      <c r="B23" s="164">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25">
      <c r="A24" s="1">
        <f>IF(A23&lt;'Project Information'!B$11,A23+1,"")</f>
        <v>2045</v>
      </c>
      <c r="B24" s="164">
        <v>0</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25">
      <c r="A25" s="1">
        <f>IF(A24&lt;'Project Information'!B$11,A24+1,"")</f>
        <v>2046</v>
      </c>
      <c r="B25" s="164">
        <v>0</v>
      </c>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25">
      <c r="A26" s="1">
        <f>IF(A25&lt;'Project Information'!B$11,A25+1,"")</f>
        <v>2047</v>
      </c>
      <c r="B26" s="164">
        <v>0</v>
      </c>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25">
      <c r="A27" s="1">
        <f>IF(A26&lt;'Project Information'!B$11,A26+1,"")</f>
        <v>2048</v>
      </c>
      <c r="B27" s="164">
        <v>0</v>
      </c>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25">
      <c r="A28" s="1" t="str">
        <f>IF(A27&lt;'Project Information'!B$11,A27+1,"")</f>
        <v/>
      </c>
      <c r="B28" s="164">
        <v>0</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25">
      <c r="A29" s="1" t="str">
        <f>IF(A28&lt;'Project Information'!B$11,A28+1,"")</f>
        <v/>
      </c>
      <c r="B29" s="164">
        <v>0</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25">
      <c r="A30" s="1" t="str">
        <f>IF(A29&lt;'Project Information'!B$11,A29+1,"")</f>
        <v/>
      </c>
      <c r="B30" s="164">
        <v>0</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25">
      <c r="A31" s="1" t="str">
        <f>IF(A30&lt;'Project Information'!B$11,A30+1,"")</f>
        <v/>
      </c>
      <c r="B31" s="164">
        <v>0</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25">
      <c r="A32" s="1" t="str">
        <f>IF(A31&lt;'Project Information'!B$11,A31+1,"")</f>
        <v/>
      </c>
      <c r="B32" s="164">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25">
      <c r="A33" s="1" t="str">
        <f>IF(A32&lt;'Project Information'!B$11,A32+1,"")</f>
        <v/>
      </c>
      <c r="B33" s="164">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25">
      <c r="A34" s="1" t="str">
        <f>IF(A33&lt;'Project Information'!B$11,A33+1,"")</f>
        <v/>
      </c>
      <c r="B34" s="164">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25">
      <c r="A35" s="1" t="str">
        <f>IF(A34&lt;'Project Information'!B$11,A34+1,"")</f>
        <v/>
      </c>
      <c r="B35" s="164">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25">
      <c r="A36" s="1" t="str">
        <f>IF(A35&lt;'Project Information'!B$11,A35+1,"")</f>
        <v/>
      </c>
      <c r="B36" s="164">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25">
      <c r="A37" s="2" t="str">
        <f>IF(A36&lt;'Project Information'!B$11,A36+1,"")</f>
        <v/>
      </c>
      <c r="B37" s="120">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25">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25">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25">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25">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25">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25">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25">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25">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25">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25">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25">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25">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25">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25">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25">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2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2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2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2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2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2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2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2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2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2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2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2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2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2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2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2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2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2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2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2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2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2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2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2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2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2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2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2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2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2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2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2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2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2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ht="15.75" thickBot="1" x14ac:dyDescent="0.3">
      <c r="E87" s="15"/>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7"/>
    </row>
  </sheetData>
  <conditionalFormatting sqref="B8:B37">
    <cfRule type="expression" dxfId="2" priority="1">
      <formula>A8=""</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1C50E-A8C3-41A1-9AAA-104E7953FC32}">
  <sheetPr>
    <tabColor theme="9" tint="0.39997558519241921"/>
  </sheetPr>
  <dimension ref="A1:AZ91"/>
  <sheetViews>
    <sheetView zoomScaleNormal="100" workbookViewId="0">
      <selection activeCell="A9" sqref="A9"/>
    </sheetView>
  </sheetViews>
  <sheetFormatPr defaultColWidth="9.140625" defaultRowHeight="15" x14ac:dyDescent="0.25"/>
  <cols>
    <col min="1" max="1" width="40.85546875" style="5" customWidth="1"/>
    <col min="2" max="2" width="40.7109375" style="5" customWidth="1"/>
    <col min="3" max="16384" width="9.140625" style="5"/>
  </cols>
  <sheetData>
    <row r="1" spans="1:52" ht="20.25" thickBot="1" x14ac:dyDescent="0.35">
      <c r="A1" s="96" t="s">
        <v>18</v>
      </c>
    </row>
    <row r="2" spans="1:52" ht="15.75" thickTop="1" x14ac:dyDescent="0.25">
      <c r="A2" s="152" t="s">
        <v>240</v>
      </c>
      <c r="B2" s="152"/>
      <c r="C2" s="152"/>
      <c r="D2" s="152"/>
      <c r="E2" s="152"/>
      <c r="F2" s="152"/>
      <c r="G2" s="152"/>
    </row>
    <row r="3" spans="1:52" x14ac:dyDescent="0.25">
      <c r="A3" s="152" t="s">
        <v>242</v>
      </c>
      <c r="B3" s="152"/>
      <c r="C3" s="152"/>
    </row>
    <row r="4" spans="1:52" x14ac:dyDescent="0.25">
      <c r="A4" s="152" t="s">
        <v>241</v>
      </c>
      <c r="B4" s="152"/>
      <c r="C4" s="152"/>
      <c r="D4" s="152"/>
      <c r="E4" s="152"/>
      <c r="F4" s="152"/>
    </row>
    <row r="5" spans="1:52" x14ac:dyDescent="0.25">
      <c r="A5" s="5" t="s">
        <v>205</v>
      </c>
    </row>
    <row r="6" spans="1:52" x14ac:dyDescent="0.25">
      <c r="A6" s="152" t="s">
        <v>239</v>
      </c>
      <c r="B6" s="152"/>
    </row>
    <row r="7" spans="1:52" x14ac:dyDescent="0.25">
      <c r="A7" s="5" t="s">
        <v>205</v>
      </c>
    </row>
    <row r="8" spans="1:52" x14ac:dyDescent="0.25">
      <c r="A8" s="153" t="s">
        <v>354</v>
      </c>
      <c r="B8" s="152"/>
      <c r="C8" s="152"/>
      <c r="D8" s="152"/>
      <c r="E8" s="152"/>
      <c r="F8" s="152"/>
      <c r="G8" s="152"/>
      <c r="H8" s="152"/>
      <c r="I8" s="152"/>
      <c r="J8" s="152"/>
      <c r="K8" s="152"/>
    </row>
    <row r="9" spans="1:52" x14ac:dyDescent="0.25">
      <c r="A9" s="38" t="s">
        <v>205</v>
      </c>
    </row>
    <row r="10" spans="1:52" ht="15.75" thickBot="1" x14ac:dyDescent="0.3">
      <c r="A10" s="97" t="s">
        <v>252</v>
      </c>
    </row>
    <row r="11" spans="1:52" x14ac:dyDescent="0.25">
      <c r="A11" s="109" t="s">
        <v>4</v>
      </c>
      <c r="B11" s="24" t="s">
        <v>18</v>
      </c>
      <c r="C11" s="5" t="s">
        <v>159</v>
      </c>
      <c r="E11" s="10" t="s">
        <v>161</v>
      </c>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2"/>
    </row>
    <row r="12" spans="1:52" x14ac:dyDescent="0.25">
      <c r="A12" s="6">
        <f>'Project Information'!$B$9</f>
        <v>2029</v>
      </c>
      <c r="B12" s="164">
        <v>0</v>
      </c>
      <c r="E12" s="13"/>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4"/>
    </row>
    <row r="13" spans="1:52" x14ac:dyDescent="0.25">
      <c r="A13" s="1">
        <f>IF(A12&lt;'Project Information'!B$11,A12+1,"")</f>
        <v>2030</v>
      </c>
      <c r="B13" s="164">
        <v>0</v>
      </c>
      <c r="E13" s="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4"/>
    </row>
    <row r="14" spans="1:52" x14ac:dyDescent="0.25">
      <c r="A14" s="1">
        <f>IF(A13&lt;'Project Information'!B$11,A13+1,"")</f>
        <v>2031</v>
      </c>
      <c r="B14" s="164">
        <v>0</v>
      </c>
      <c r="E14" s="13"/>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4"/>
    </row>
    <row r="15" spans="1:52" x14ac:dyDescent="0.25">
      <c r="A15" s="1">
        <f>IF(A14&lt;'Project Information'!B$11,A14+1,"")</f>
        <v>2032</v>
      </c>
      <c r="B15" s="164">
        <v>0</v>
      </c>
      <c r="E15" s="1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25">
      <c r="A16" s="1">
        <f>IF(A15&lt;'Project Information'!B$11,A15+1,"")</f>
        <v>2033</v>
      </c>
      <c r="B16" s="164">
        <v>0</v>
      </c>
      <c r="E16" s="1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25">
      <c r="A17" s="1">
        <f>IF(A16&lt;'Project Information'!B$11,A16+1,"")</f>
        <v>2034</v>
      </c>
      <c r="B17" s="164">
        <v>0</v>
      </c>
      <c r="E17" s="13"/>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25">
      <c r="A18" s="1">
        <f>IF(A17&lt;'Project Information'!B$11,A17+1,"")</f>
        <v>2035</v>
      </c>
      <c r="B18" s="164">
        <v>0</v>
      </c>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25">
      <c r="A19" s="1">
        <f>IF(A18&lt;'Project Information'!B$11,A18+1,"")</f>
        <v>2036</v>
      </c>
      <c r="B19" s="164">
        <v>0</v>
      </c>
      <c r="E19" s="13"/>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25">
      <c r="A20" s="1">
        <f>IF(A19&lt;'Project Information'!B$11,A19+1,"")</f>
        <v>2037</v>
      </c>
      <c r="B20" s="164">
        <v>0</v>
      </c>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25">
      <c r="A21" s="1">
        <f>IF(A20&lt;'Project Information'!B$11,A20+1,"")</f>
        <v>2038</v>
      </c>
      <c r="B21" s="164">
        <v>0</v>
      </c>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25">
      <c r="A22" s="1">
        <f>IF(A21&lt;'Project Information'!B$11,A21+1,"")</f>
        <v>2039</v>
      </c>
      <c r="B22" s="164">
        <v>0</v>
      </c>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25">
      <c r="A23" s="1">
        <f>IF(A22&lt;'Project Information'!B$11,A22+1,"")</f>
        <v>2040</v>
      </c>
      <c r="B23" s="164">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25">
      <c r="A24" s="1">
        <f>IF(A23&lt;'Project Information'!B$11,A23+1,"")</f>
        <v>2041</v>
      </c>
      <c r="B24" s="164">
        <v>0</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25">
      <c r="A25" s="1">
        <f>IF(A24&lt;'Project Information'!B$11,A24+1,"")</f>
        <v>2042</v>
      </c>
      <c r="B25" s="164">
        <v>0</v>
      </c>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25">
      <c r="A26" s="1">
        <f>IF(A25&lt;'Project Information'!B$11,A25+1,"")</f>
        <v>2043</v>
      </c>
      <c r="B26" s="164">
        <v>0</v>
      </c>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25">
      <c r="A27" s="1">
        <f>IF(A26&lt;'Project Information'!B$11,A26+1,"")</f>
        <v>2044</v>
      </c>
      <c r="B27" s="164">
        <v>0</v>
      </c>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25">
      <c r="A28" s="1">
        <f>IF(A27&lt;'Project Information'!B$11,A27+1,"")</f>
        <v>2045</v>
      </c>
      <c r="B28" s="164">
        <v>0</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25">
      <c r="A29" s="1">
        <f>IF(A28&lt;'Project Information'!B$11,A28+1,"")</f>
        <v>2046</v>
      </c>
      <c r="B29" s="164">
        <v>0</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25">
      <c r="A30" s="1">
        <f>IF(A29&lt;'Project Information'!B$11,A29+1,"")</f>
        <v>2047</v>
      </c>
      <c r="B30" s="164">
        <v>0</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25">
      <c r="A31" s="1">
        <f>IF(A30&lt;'Project Information'!B$11,A30+1,"")</f>
        <v>2048</v>
      </c>
      <c r="B31" s="164">
        <v>0</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25">
      <c r="A32" s="1" t="str">
        <f>IF(A31&lt;'Project Information'!B$11,A31+1,"")</f>
        <v/>
      </c>
      <c r="B32" s="164">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25">
      <c r="A33" s="1" t="str">
        <f>IF(A32&lt;'Project Information'!B$11,A32+1,"")</f>
        <v/>
      </c>
      <c r="B33" s="164">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25">
      <c r="A34" s="1" t="str">
        <f>IF(A33&lt;'Project Information'!B$11,A33+1,"")</f>
        <v/>
      </c>
      <c r="B34" s="164">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25">
      <c r="A35" s="1" t="str">
        <f>IF(A34&lt;'Project Information'!B$11,A34+1,"")</f>
        <v/>
      </c>
      <c r="B35" s="164">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25">
      <c r="A36" s="1" t="str">
        <f>IF(A35&lt;'Project Information'!B$11,A35+1,"")</f>
        <v/>
      </c>
      <c r="B36" s="164">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25">
      <c r="A37" s="1" t="str">
        <f>IF(A36&lt;'Project Information'!B$11,A36+1,"")</f>
        <v/>
      </c>
      <c r="B37" s="164">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25">
      <c r="A38" s="1" t="str">
        <f>IF(A37&lt;'Project Information'!B$11,A37+1,"")</f>
        <v/>
      </c>
      <c r="B38" s="164">
        <v>0</v>
      </c>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25">
      <c r="A39" s="1" t="str">
        <f>IF(A38&lt;'Project Information'!B$11,A38+1,"")</f>
        <v/>
      </c>
      <c r="B39" s="164">
        <v>0</v>
      </c>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25">
      <c r="A40" s="1" t="str">
        <f>IF(A39&lt;'Project Information'!B$11,A39+1,"")</f>
        <v/>
      </c>
      <c r="B40" s="164">
        <v>0</v>
      </c>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25">
      <c r="A41" s="2" t="str">
        <f>IF(A40&lt;'Project Information'!B$11,A40+1,"")</f>
        <v/>
      </c>
      <c r="B41" s="120">
        <v>0</v>
      </c>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25">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25">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25">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25">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25">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25">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25">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25">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25">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25">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25">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2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2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2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2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2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2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2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2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2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2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2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2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2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2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2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2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2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2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2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2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2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2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2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2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2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2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2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2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2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2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2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2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2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2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x14ac:dyDescent="0.25">
      <c r="E87" s="13"/>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s="14"/>
    </row>
    <row r="88" spans="5:52" x14ac:dyDescent="0.25">
      <c r="E88" s="13"/>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s="14"/>
    </row>
    <row r="89" spans="5:52" x14ac:dyDescent="0.25">
      <c r="E89" s="13"/>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s="14"/>
    </row>
    <row r="90" spans="5:52" x14ac:dyDescent="0.25">
      <c r="E90" s="13"/>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s="14"/>
    </row>
    <row r="91" spans="5:52" ht="15.75" thickBot="1" x14ac:dyDescent="0.3">
      <c r="E91" s="15"/>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7"/>
    </row>
  </sheetData>
  <conditionalFormatting sqref="B12:B41">
    <cfRule type="expression" dxfId="1" priority="1">
      <formula>A12=""</formula>
    </cfRule>
  </conditionalFormatting>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223E3-CA4A-450A-91B0-3ECFC3741DDC}">
  <sheetPr>
    <tabColor theme="8" tint="0.39997558519241921"/>
  </sheetPr>
  <dimension ref="A1:Q65"/>
  <sheetViews>
    <sheetView topLeftCell="C1" zoomScale="85" zoomScaleNormal="85" workbookViewId="0">
      <selection activeCell="E49" sqref="E49"/>
    </sheetView>
  </sheetViews>
  <sheetFormatPr defaultColWidth="9.140625" defaultRowHeight="15" x14ac:dyDescent="0.25"/>
  <cols>
    <col min="1" max="1" width="32.5703125" style="5" customWidth="1"/>
    <col min="2" max="2" width="30.28515625" style="5" customWidth="1"/>
    <col min="3" max="3" width="23.85546875" style="5" customWidth="1"/>
    <col min="4" max="4" width="25.42578125" style="5" customWidth="1"/>
    <col min="5" max="5" width="31" style="5" customWidth="1"/>
    <col min="6" max="6" width="27.85546875" style="5" customWidth="1"/>
    <col min="7" max="7" width="27.42578125" style="5" customWidth="1"/>
    <col min="8" max="8" width="28.7109375" style="5" customWidth="1"/>
    <col min="9" max="9" width="30.85546875" style="5" customWidth="1"/>
    <col min="10" max="10" width="30.28515625" style="5" customWidth="1"/>
    <col min="11" max="11" width="26.42578125" style="5" customWidth="1"/>
    <col min="12" max="12" width="21.140625" style="5" customWidth="1"/>
    <col min="13" max="13" width="19.42578125" style="5" customWidth="1"/>
    <col min="14" max="14" width="21" style="5" customWidth="1"/>
    <col min="15" max="15" width="19" style="5" customWidth="1"/>
    <col min="16" max="16" width="19.42578125" style="5" customWidth="1"/>
    <col min="17" max="17" width="25.7109375" style="5" customWidth="1"/>
    <col min="18" max="18" width="18.140625" style="5" customWidth="1"/>
    <col min="19" max="19" width="11" style="5" customWidth="1"/>
    <col min="20" max="20" width="19.85546875" style="5" customWidth="1"/>
    <col min="21" max="21" width="25.140625" style="5" customWidth="1"/>
    <col min="22" max="16384" width="9.140625" style="5"/>
  </cols>
  <sheetData>
    <row r="1" spans="1:17" ht="20.25" thickBot="1" x14ac:dyDescent="0.35">
      <c r="A1" s="96" t="s">
        <v>221</v>
      </c>
    </row>
    <row r="2" spans="1:17" ht="15.75" thickTop="1" x14ac:dyDescent="0.25">
      <c r="A2" s="152" t="s">
        <v>162</v>
      </c>
      <c r="B2" s="152"/>
      <c r="C2" s="152"/>
      <c r="D2" s="152"/>
      <c r="E2" s="152"/>
      <c r="F2" s="152"/>
      <c r="G2" s="152"/>
      <c r="H2" s="152"/>
      <c r="I2" s="152"/>
      <c r="J2" s="152"/>
    </row>
    <row r="3" spans="1:17" x14ac:dyDescent="0.25">
      <c r="A3" s="5" t="s">
        <v>205</v>
      </c>
    </row>
    <row r="4" spans="1:17" x14ac:dyDescent="0.25">
      <c r="A4" s="97" t="s">
        <v>243</v>
      </c>
    </row>
    <row r="5" spans="1:17" x14ac:dyDescent="0.25">
      <c r="A5" s="110" t="s">
        <v>4</v>
      </c>
      <c r="B5" s="113" t="s">
        <v>7</v>
      </c>
      <c r="C5" s="113" t="s">
        <v>8</v>
      </c>
      <c r="D5" s="113" t="s">
        <v>9</v>
      </c>
      <c r="E5" s="113" t="s">
        <v>10</v>
      </c>
      <c r="F5" s="113" t="s">
        <v>11</v>
      </c>
      <c r="G5" s="113" t="s">
        <v>12</v>
      </c>
      <c r="H5" s="113" t="s">
        <v>263</v>
      </c>
      <c r="I5" s="113" t="s">
        <v>14</v>
      </c>
      <c r="J5" s="113" t="s">
        <v>13</v>
      </c>
      <c r="K5" s="113" t="s">
        <v>20</v>
      </c>
      <c r="L5" s="113" t="str">
        <f>'Other Benefit 1'!B7</f>
        <v>Other Benefit 1</v>
      </c>
      <c r="M5" s="113" t="str">
        <f>'Other Benefit 2'!B7</f>
        <v>Other Benefit 2</v>
      </c>
      <c r="N5" s="113" t="str">
        <f>'Other Benefit 3'!B7</f>
        <v>Other Benefit 3</v>
      </c>
      <c r="O5" s="113" t="str">
        <f>'Other Benefit 4'!B11</f>
        <v>Other Benefit 4</v>
      </c>
      <c r="P5" s="113" t="s">
        <v>19</v>
      </c>
      <c r="Q5" s="107" t="s">
        <v>0</v>
      </c>
    </row>
    <row r="6" spans="1:17" x14ac:dyDescent="0.25">
      <c r="A6" s="6">
        <f>'Project Information'!$B$9</f>
        <v>2029</v>
      </c>
      <c r="B6" s="7">
        <f>'Operations and Maintenance'!D8</f>
        <v>76234.221999999994</v>
      </c>
      <c r="C6" s="7">
        <f>Safety!D22</f>
        <v>2778231.2146340203</v>
      </c>
      <c r="D6" s="7">
        <f>'Travel Time Savings'!D20</f>
        <v>643436.10643141717</v>
      </c>
      <c r="E6" s="7">
        <f>'Vehicle Operating Cost Savings'!D26</f>
        <v>0</v>
      </c>
      <c r="F6" s="21">
        <f>'Emissions Reduction'!S33</f>
        <v>3996.3996928543811</v>
      </c>
      <c r="G6" s="21">
        <f>'Emissions Reduction'!T33</f>
        <v>14639.465523018311</v>
      </c>
      <c r="H6" s="21">
        <f>'Other Highway Use Externalities'!B20</f>
        <v>0</v>
      </c>
      <c r="I6" s="7">
        <f>'Amenity Benefits'!B11</f>
        <v>67983.000000000015</v>
      </c>
      <c r="J6" s="7">
        <f>'Health Benefits'!B15</f>
        <v>278297.17</v>
      </c>
      <c r="K6" s="7">
        <f>'Residual Value'!B23</f>
        <v>0</v>
      </c>
      <c r="L6" s="7">
        <f>'Other Benefit 1'!B8</f>
        <v>0</v>
      </c>
      <c r="M6" s="7">
        <f>'Other Benefit 2'!B8</f>
        <v>0</v>
      </c>
      <c r="N6" s="7">
        <f>'Other Benefit 3'!B8</f>
        <v>0</v>
      </c>
      <c r="O6" s="7">
        <f>'Other Benefit 4'!B12</f>
        <v>0</v>
      </c>
      <c r="P6" s="157">
        <f>SUM(C6:O6)-B6</f>
        <v>3710349.1342813103</v>
      </c>
      <c r="Q6" s="8">
        <f>IFERROR(((P6-G6)/(1.031)^(A6-Overview!$B$22))+((G6)/(1.02)^(A6-Overview!$B$22)),0)</f>
        <v>3090129.4980357843</v>
      </c>
    </row>
    <row r="7" spans="1:17" x14ac:dyDescent="0.25">
      <c r="A7" s="1">
        <f>IF(A6&lt;'Project Information'!B$11,A6+1,"")</f>
        <v>2030</v>
      </c>
      <c r="B7" s="7">
        <f>'Operations and Maintenance'!D9</f>
        <v>78521.248659999997</v>
      </c>
      <c r="C7" s="7">
        <f>Safety!D23</f>
        <v>2693962.4398679789</v>
      </c>
      <c r="D7" s="7">
        <f>'Travel Time Savings'!D21</f>
        <v>1156540.7337943134</v>
      </c>
      <c r="E7" s="7">
        <f>'Vehicle Operating Cost Savings'!D27</f>
        <v>0</v>
      </c>
      <c r="F7" s="21">
        <f>'Emissions Reduction'!S34</f>
        <v>6676.7677403434245</v>
      </c>
      <c r="G7" s="21">
        <f>'Emissions Reduction'!T34</f>
        <v>25386.950604711212</v>
      </c>
      <c r="H7" s="21">
        <f>'Other Highway Use Externalities'!B21</f>
        <v>0</v>
      </c>
      <c r="I7" s="7">
        <f>'Amenity Benefits'!B12</f>
        <v>68662.830000000016</v>
      </c>
      <c r="J7" s="7">
        <f>'Health Benefits'!B16</f>
        <v>284821.74</v>
      </c>
      <c r="K7" s="7">
        <f>'Residual Value'!B24</f>
        <v>0</v>
      </c>
      <c r="L7" s="7">
        <f>'Other Benefit 1'!B9</f>
        <v>0</v>
      </c>
      <c r="M7" s="7">
        <f>'Other Benefit 2'!B9</f>
        <v>0</v>
      </c>
      <c r="N7" s="7">
        <f>'Other Benefit 3'!B9</f>
        <v>0</v>
      </c>
      <c r="O7" s="7">
        <f>'Other Benefit 4'!B13</f>
        <v>0</v>
      </c>
      <c r="P7" s="157">
        <f t="shared" ref="P7:P35" si="0">SUM(C7:O7)-B7</f>
        <v>4157530.2133473465</v>
      </c>
      <c r="Q7" s="8">
        <f>IFERROR(((P7-G7)/(1.031)^(A7-Overview!$B$22))+((G7)/(1.02)^(A7-Overview!$B$22)),0)</f>
        <v>3359166.2312749056</v>
      </c>
    </row>
    <row r="8" spans="1:17" x14ac:dyDescent="0.25">
      <c r="A8" s="1">
        <f>IF(A7&lt;'Project Information'!B$11,A7+1,"")</f>
        <v>2031</v>
      </c>
      <c r="B8" s="7">
        <f>'Operations and Maintenance'!D10</f>
        <v>80876.886119799994</v>
      </c>
      <c r="C8" s="7">
        <f>Safety!D24</f>
        <v>2639465.5206261431</v>
      </c>
      <c r="D8" s="7">
        <f>'Travel Time Savings'!D22</f>
        <v>2462922.2105907411</v>
      </c>
      <c r="E8" s="7">
        <f>'Vehicle Operating Cost Savings'!D28</f>
        <v>0</v>
      </c>
      <c r="F8" s="21">
        <f>'Emissions Reduction'!S35</f>
        <v>9281.6691642517781</v>
      </c>
      <c r="G8" s="21">
        <f>'Emissions Reduction'!T35</f>
        <v>36590.961344993208</v>
      </c>
      <c r="H8" s="21">
        <f>'Other Highway Use Externalities'!B22</f>
        <v>0</v>
      </c>
      <c r="I8" s="7">
        <f>'Amenity Benefits'!B13</f>
        <v>69349.458300000013</v>
      </c>
      <c r="J8" s="7">
        <f>'Health Benefits'!B17</f>
        <v>290518.17479999998</v>
      </c>
      <c r="K8" s="7">
        <f>'Residual Value'!B25</f>
        <v>0</v>
      </c>
      <c r="L8" s="7">
        <f>'Other Benefit 1'!B10</f>
        <v>0</v>
      </c>
      <c r="M8" s="7">
        <f>'Other Benefit 2'!B10</f>
        <v>0</v>
      </c>
      <c r="N8" s="7">
        <f>'Other Benefit 3'!B10</f>
        <v>0</v>
      </c>
      <c r="O8" s="7">
        <f>'Other Benefit 4'!B14</f>
        <v>0</v>
      </c>
      <c r="P8" s="157">
        <f t="shared" si="0"/>
        <v>5427251.1087063299</v>
      </c>
      <c r="Q8" s="8">
        <f>IFERROR(((P8-G8)/(1.031)^(A8-Overview!$B$22))+((G8)/(1.02)^(A8-Overview!$B$22)),0)</f>
        <v>4253758.9310655287</v>
      </c>
    </row>
    <row r="9" spans="1:17" x14ac:dyDescent="0.25">
      <c r="A9" s="1">
        <f>IF(A8&lt;'Project Information'!B$11,A8+1,"")</f>
        <v>2032</v>
      </c>
      <c r="B9" s="7">
        <f>'Operations and Maintenance'!D11</f>
        <v>83303.192703394001</v>
      </c>
      <c r="C9" s="7">
        <f>Safety!D25</f>
        <v>2562745.0083207921</v>
      </c>
      <c r="D9" s="7">
        <f>'Travel Time Savings'!D23</f>
        <v>4044263.7004700471</v>
      </c>
      <c r="E9" s="7">
        <f>'Vehicle Operating Cost Savings'!D29</f>
        <v>0</v>
      </c>
      <c r="F9" s="21">
        <f>'Emissions Reduction'!S36</f>
        <v>11884.473835115317</v>
      </c>
      <c r="G9" s="21">
        <f>'Emissions Reduction'!T36</f>
        <v>47912.178952183072</v>
      </c>
      <c r="H9" s="21">
        <f>'Other Highway Use Externalities'!B23</f>
        <v>0</v>
      </c>
      <c r="I9" s="7">
        <f>'Amenity Benefits'!B14</f>
        <v>70042.95288300002</v>
      </c>
      <c r="J9" s="7">
        <f>'Health Benefits'!B18</f>
        <v>296328.53829599998</v>
      </c>
      <c r="K9" s="7">
        <f>'Residual Value'!B26</f>
        <v>0</v>
      </c>
      <c r="L9" s="7">
        <f>'Other Benefit 1'!B11</f>
        <v>0</v>
      </c>
      <c r="M9" s="7">
        <f>'Other Benefit 2'!B11</f>
        <v>0</v>
      </c>
      <c r="N9" s="7">
        <f>'Other Benefit 3'!B11</f>
        <v>0</v>
      </c>
      <c r="O9" s="7">
        <f>'Other Benefit 4'!B15</f>
        <v>0</v>
      </c>
      <c r="P9" s="157">
        <f t="shared" si="0"/>
        <v>6949873.6600537421</v>
      </c>
      <c r="Q9" s="8">
        <f>IFERROR(((P9-G9)/(1.031)^(A9-Overview!$B$22))+((G9)/(1.02)^(A9-Overview!$B$22)),0)</f>
        <v>5283871.7444393476</v>
      </c>
    </row>
    <row r="10" spans="1:17" x14ac:dyDescent="0.25">
      <c r="A10" s="1">
        <f>IF(A9&lt;'Project Information'!B$11,A9+1,"")</f>
        <v>2033</v>
      </c>
      <c r="B10" s="7">
        <f>'Operations and Maintenance'!D12</f>
        <v>85802.288484495817</v>
      </c>
      <c r="C10" s="7">
        <f>Safety!D26</f>
        <v>2488920.33292699</v>
      </c>
      <c r="D10" s="7">
        <f>'Travel Time Savings'!D24</f>
        <v>2890552.8839960601</v>
      </c>
      <c r="E10" s="7">
        <f>'Vehicle Operating Cost Savings'!D30</f>
        <v>0</v>
      </c>
      <c r="F10" s="21">
        <f>'Emissions Reduction'!S37</f>
        <v>14486.157152416279</v>
      </c>
      <c r="G10" s="21">
        <f>'Emissions Reduction'!T37</f>
        <v>59977.15148836009</v>
      </c>
      <c r="H10" s="21">
        <f>'Other Highway Use Externalities'!B24</f>
        <v>0</v>
      </c>
      <c r="I10" s="7">
        <f>'Amenity Benefits'!B15</f>
        <v>70743.382411830025</v>
      </c>
      <c r="J10" s="7">
        <f>'Health Benefits'!B19</f>
        <v>302255.10906191997</v>
      </c>
      <c r="K10" s="7">
        <f>'Residual Value'!B27</f>
        <v>0</v>
      </c>
      <c r="L10" s="7">
        <f>'Other Benefit 1'!B12</f>
        <v>0</v>
      </c>
      <c r="M10" s="7">
        <f>'Other Benefit 2'!B12</f>
        <v>0</v>
      </c>
      <c r="N10" s="7">
        <f>'Other Benefit 3'!B12</f>
        <v>0</v>
      </c>
      <c r="O10" s="7">
        <f>'Other Benefit 4'!B16</f>
        <v>0</v>
      </c>
      <c r="P10" s="157">
        <f t="shared" si="0"/>
        <v>5741132.7285530809</v>
      </c>
      <c r="Q10" s="8">
        <f>IFERROR(((P10-G10)/(1.031)^(A10-Overview!$B$22))+((G10)/(1.02)^(A10-Overview!$B$22)),0)</f>
        <v>4235691.8793251663</v>
      </c>
    </row>
    <row r="11" spans="1:17" x14ac:dyDescent="0.25">
      <c r="A11" s="1">
        <f>IF(A10&lt;'Project Information'!B$11,A10+1,"")</f>
        <v>2034</v>
      </c>
      <c r="B11" s="7">
        <f>'Operations and Maintenance'!D13</f>
        <v>88376.35713903069</v>
      </c>
      <c r="C11" s="7">
        <f>Safety!D27</f>
        <v>2394536.2210047171</v>
      </c>
      <c r="D11" s="7">
        <f>'Travel Time Savings'!D25</f>
        <v>3411704.5090512722</v>
      </c>
      <c r="E11" s="7">
        <f>'Vehicle Operating Cost Savings'!D31</f>
        <v>0</v>
      </c>
      <c r="F11" s="21">
        <f>'Emissions Reduction'!S38</f>
        <v>17087.68526129036</v>
      </c>
      <c r="G11" s="21">
        <f>'Emissions Reduction'!T38</f>
        <v>72272.380896720657</v>
      </c>
      <c r="H11" s="21">
        <f>'Other Highway Use Externalities'!B25</f>
        <v>0</v>
      </c>
      <c r="I11" s="7">
        <f>'Amenity Benefits'!B16</f>
        <v>71450.816235948325</v>
      </c>
      <c r="J11" s="7">
        <f>'Health Benefits'!B20</f>
        <v>308300.21124315838</v>
      </c>
      <c r="K11" s="7">
        <f>'Residual Value'!B28</f>
        <v>0</v>
      </c>
      <c r="L11" s="7">
        <f>'Other Benefit 1'!B13</f>
        <v>0</v>
      </c>
      <c r="M11" s="7">
        <f>'Other Benefit 2'!B13</f>
        <v>0</v>
      </c>
      <c r="N11" s="7">
        <f>'Other Benefit 3'!B13</f>
        <v>0</v>
      </c>
      <c r="O11" s="7">
        <f>'Other Benefit 4'!B17</f>
        <v>0</v>
      </c>
      <c r="P11" s="157">
        <f t="shared" si="0"/>
        <v>6186975.4665540773</v>
      </c>
      <c r="Q11" s="8">
        <f>IFERROR(((P11-G11)/(1.031)^(A11-Overview!$B$22))+((G11)/(1.02)^(A11-Overview!$B$22)),0)</f>
        <v>4428615.2465297896</v>
      </c>
    </row>
    <row r="12" spans="1:17" x14ac:dyDescent="0.25">
      <c r="A12" s="1">
        <f>IF(A11&lt;'Project Information'!B$11,A11+1,"")</f>
        <v>2035</v>
      </c>
      <c r="B12" s="7">
        <f>'Operations and Maintenance'!D14</f>
        <v>91027.647853201619</v>
      </c>
      <c r="C12" s="7">
        <f>Safety!D28</f>
        <v>2331284.6877730726</v>
      </c>
      <c r="D12" s="7">
        <f>'Travel Time Savings'!D26</f>
        <v>4048341.6474536946</v>
      </c>
      <c r="E12" s="7">
        <f>'Vehicle Operating Cost Savings'!D32</f>
        <v>0</v>
      </c>
      <c r="F12" s="21">
        <f>'Emissions Reduction'!S39</f>
        <v>19690.015060777267</v>
      </c>
      <c r="G12" s="21">
        <f>'Emissions Reduction'!T39</f>
        <v>84981.674061901984</v>
      </c>
      <c r="H12" s="21">
        <f>'Other Highway Use Externalities'!B26</f>
        <v>0</v>
      </c>
      <c r="I12" s="7">
        <f>'Amenity Benefits'!B17</f>
        <v>72165.324398307814</v>
      </c>
      <c r="J12" s="7">
        <f>'Health Benefits'!B21</f>
        <v>314466.21546802158</v>
      </c>
      <c r="K12" s="7">
        <f>'Residual Value'!B29</f>
        <v>0</v>
      </c>
      <c r="L12" s="7">
        <f>'Other Benefit 1'!B14</f>
        <v>0</v>
      </c>
      <c r="M12" s="7">
        <f>'Other Benefit 2'!B14</f>
        <v>0</v>
      </c>
      <c r="N12" s="7">
        <f>'Other Benefit 3'!B14</f>
        <v>0</v>
      </c>
      <c r="O12" s="7">
        <f>'Other Benefit 4'!B18</f>
        <v>0</v>
      </c>
      <c r="P12" s="157">
        <f t="shared" si="0"/>
        <v>6779901.9163625743</v>
      </c>
      <c r="Q12" s="8">
        <f>IFERROR(((P12-G12)/(1.031)^(A12-Overview!$B$22))+((G12)/(1.02)^(A12-Overview!$B$22)),0)</f>
        <v>4708326.5282795783</v>
      </c>
    </row>
    <row r="13" spans="1:17" x14ac:dyDescent="0.25">
      <c r="A13" s="1">
        <f>IF(A12&lt;'Project Information'!B$11,A12+1,"")</f>
        <v>2036</v>
      </c>
      <c r="B13" s="7">
        <f>'Operations and Maintenance'!D15</f>
        <v>93758.477288797672</v>
      </c>
      <c r="C13" s="7">
        <f>Safety!D29</f>
        <v>2267250.6283528972</v>
      </c>
      <c r="D13" s="7">
        <f>'Travel Time Savings'!D27</f>
        <v>4670347.7863826919</v>
      </c>
      <c r="E13" s="7">
        <f>'Vehicle Operating Cost Savings'!D33</f>
        <v>0</v>
      </c>
      <c r="F13" s="21">
        <f>'Emissions Reduction'!S40</f>
        <v>22294.094193438214</v>
      </c>
      <c r="G13" s="21">
        <f>'Emissions Reduction'!T40</f>
        <v>98115.020385959433</v>
      </c>
      <c r="H13" s="21">
        <f>'Other Highway Use Externalities'!B27</f>
        <v>0</v>
      </c>
      <c r="I13" s="7">
        <f>'Amenity Benefits'!B18</f>
        <v>72886.977642290891</v>
      </c>
      <c r="J13" s="7">
        <f>'Health Benefits'!B22</f>
        <v>320755.53977738199</v>
      </c>
      <c r="K13" s="7">
        <f>'Residual Value'!B30</f>
        <v>0</v>
      </c>
      <c r="L13" s="7">
        <f>'Other Benefit 1'!B15</f>
        <v>0</v>
      </c>
      <c r="M13" s="7">
        <f>'Other Benefit 2'!B15</f>
        <v>0</v>
      </c>
      <c r="N13" s="7">
        <f>'Other Benefit 3'!B15</f>
        <v>0</v>
      </c>
      <c r="O13" s="7">
        <f>'Other Benefit 4'!B19</f>
        <v>0</v>
      </c>
      <c r="P13" s="157">
        <f>SUM(C13:O13)-B13</f>
        <v>7357891.5694458624</v>
      </c>
      <c r="Q13" s="8">
        <f>IFERROR(((P13-G13)/(1.031)^(A13-Overview!$B$22))+((G13)/(1.02)^(A13-Overview!$B$22)),0)</f>
        <v>4957428.2820197847</v>
      </c>
    </row>
    <row r="14" spans="1:17" x14ac:dyDescent="0.25">
      <c r="A14" s="1">
        <f>IF(A13&lt;'Project Information'!B$11,A13+1,"")</f>
        <v>2037</v>
      </c>
      <c r="B14" s="7">
        <f>'Operations and Maintenance'!D16</f>
        <v>96571.23160746161</v>
      </c>
      <c r="C14" s="7">
        <f>Safety!D30</f>
        <v>2230673.6529329247</v>
      </c>
      <c r="D14" s="7">
        <f>'Travel Time Savings'!D28</f>
        <v>5308183.9750017626</v>
      </c>
      <c r="E14" s="7">
        <f>'Vehicle Operating Cost Savings'!D34</f>
        <v>0</v>
      </c>
      <c r="F14" s="21">
        <f>'Emissions Reduction'!S41</f>
        <v>24900.861015729359</v>
      </c>
      <c r="G14" s="21">
        <f>'Emissions Reduction'!T41</f>
        <v>112060.1331550645</v>
      </c>
      <c r="H14" s="21">
        <f>'Other Highway Use Externalities'!B28</f>
        <v>0</v>
      </c>
      <c r="I14" s="7">
        <f>'Amenity Benefits'!B19</f>
        <v>73615.847418713791</v>
      </c>
      <c r="J14" s="7">
        <f>'Health Benefits'!B23</f>
        <v>327170.65057292965</v>
      </c>
      <c r="K14" s="7">
        <f>'Residual Value'!B31</f>
        <v>0</v>
      </c>
      <c r="L14" s="7">
        <f>'Other Benefit 1'!B16</f>
        <v>0</v>
      </c>
      <c r="M14" s="7">
        <f>'Other Benefit 2'!B16</f>
        <v>0</v>
      </c>
      <c r="N14" s="7">
        <f>'Other Benefit 3'!B16</f>
        <v>0</v>
      </c>
      <c r="O14" s="7">
        <f>'Other Benefit 4'!B20</f>
        <v>0</v>
      </c>
      <c r="P14" s="157">
        <f t="shared" si="0"/>
        <v>7980033.8884896627</v>
      </c>
      <c r="Q14" s="8">
        <f>IFERROR(((P14-G14)/(1.031)^(A14-Overview!$B$22))+((G14)/(1.02)^(A14-Overview!$B$22)),0)</f>
        <v>5216395.1467792792</v>
      </c>
    </row>
    <row r="15" spans="1:17" x14ac:dyDescent="0.25">
      <c r="A15" s="1">
        <f>IF(A14&lt;'Project Information'!B$11,A14+1,"")</f>
        <v>2038</v>
      </c>
      <c r="B15" s="7">
        <f>'Operations and Maintenance'!D17</f>
        <v>99468.368555685462</v>
      </c>
      <c r="C15" s="7">
        <f>Safety!D31</f>
        <v>2171145.7358805062</v>
      </c>
      <c r="D15" s="7">
        <f>'Travel Time Savings'!D29</f>
        <v>5962552.8713929132</v>
      </c>
      <c r="E15" s="7">
        <f>'Vehicle Operating Cost Savings'!D35</f>
        <v>0</v>
      </c>
      <c r="F15" s="21">
        <f>'Emissions Reduction'!S42</f>
        <v>27511.244548489383</v>
      </c>
      <c r="G15" s="21">
        <f>'Emissions Reduction'!T42</f>
        <v>126114.91046073395</v>
      </c>
      <c r="H15" s="21">
        <f>'Other Highway Use Externalities'!B29</f>
        <v>0</v>
      </c>
      <c r="I15" s="7">
        <f>'Amenity Benefits'!B20</f>
        <v>74352.005892900925</v>
      </c>
      <c r="J15" s="7">
        <f>'Health Benefits'!B24</f>
        <v>333714.06358438823</v>
      </c>
      <c r="K15" s="7">
        <f>'Residual Value'!B32</f>
        <v>0</v>
      </c>
      <c r="L15" s="7">
        <f>'Other Benefit 1'!B17</f>
        <v>0</v>
      </c>
      <c r="M15" s="7">
        <f>'Other Benefit 2'!B17</f>
        <v>0</v>
      </c>
      <c r="N15" s="7">
        <f>'Other Benefit 3'!B17</f>
        <v>0</v>
      </c>
      <c r="O15" s="7">
        <f>'Other Benefit 4'!B21</f>
        <v>0</v>
      </c>
      <c r="P15" s="157">
        <f t="shared" si="0"/>
        <v>8595922.463204246</v>
      </c>
      <c r="Q15" s="8">
        <f>IFERROR(((P15-G15)/(1.031)^(A15-Overview!$B$22))+((G15)/(1.02)^(A15-Overview!$B$22)),0)</f>
        <v>5451592.4016849827</v>
      </c>
    </row>
    <row r="16" spans="1:17" x14ac:dyDescent="0.25">
      <c r="A16" s="1">
        <f>IF(A15&lt;'Project Information'!B$11,A15+1,"")</f>
        <v>2039</v>
      </c>
      <c r="B16" s="7">
        <f>'Operations and Maintenance'!D18</f>
        <v>102452.41961235603</v>
      </c>
      <c r="C16" s="7">
        <f>Safety!D32</f>
        <v>2070589.0072698542</v>
      </c>
      <c r="D16" s="7">
        <f>'Travel Time Savings'!D30</f>
        <v>6634182.9309298163</v>
      </c>
      <c r="E16" s="7">
        <f>'Vehicle Operating Cost Savings'!D36</f>
        <v>0</v>
      </c>
      <c r="F16" s="21">
        <f>'Emissions Reduction'!S43</f>
        <v>30126.16440686569</v>
      </c>
      <c r="G16" s="21">
        <f>'Emissions Reduction'!T43</f>
        <v>140626.65164084296</v>
      </c>
      <c r="H16" s="21">
        <f>'Other Highway Use Externalities'!B30</f>
        <v>0</v>
      </c>
      <c r="I16" s="7">
        <f>'Amenity Benefits'!B21</f>
        <v>75095.525951829943</v>
      </c>
      <c r="J16" s="7">
        <f>'Health Benefits'!B25</f>
        <v>340388.344856076</v>
      </c>
      <c r="K16" s="7">
        <f>'Residual Value'!B33</f>
        <v>0</v>
      </c>
      <c r="L16" s="7">
        <f>'Other Benefit 1'!B18</f>
        <v>0</v>
      </c>
      <c r="M16" s="7">
        <f>'Other Benefit 2'!B18</f>
        <v>0</v>
      </c>
      <c r="N16" s="7">
        <f>'Other Benefit 3'!B18</f>
        <v>0</v>
      </c>
      <c r="O16" s="7">
        <f>'Other Benefit 4'!B22</f>
        <v>0</v>
      </c>
      <c r="P16" s="157">
        <f t="shared" si="0"/>
        <v>9188556.2054429315</v>
      </c>
      <c r="Q16" s="8">
        <f>IFERROR(((P16-G16)/(1.031)^(A16-Overview!$B$22))+((G16)/(1.02)^(A16-Overview!$B$22)),0)</f>
        <v>5653941.7318536146</v>
      </c>
    </row>
    <row r="17" spans="1:17" x14ac:dyDescent="0.25">
      <c r="A17" s="1">
        <f>IF(A16&lt;'Project Information'!B$11,A16+1,"")</f>
        <v>2040</v>
      </c>
      <c r="B17" s="7">
        <f>'Operations and Maintenance'!D19</f>
        <v>105525.9922007267</v>
      </c>
      <c r="C17" s="7">
        <f>Safety!D33</f>
        <v>2040570.4749188705</v>
      </c>
      <c r="D17" s="7">
        <f>'Travel Time Savings'!D31</f>
        <v>7323829.4910546755</v>
      </c>
      <c r="E17" s="7">
        <f>'Vehicle Operating Cost Savings'!D37</f>
        <v>0</v>
      </c>
      <c r="F17" s="21">
        <f>'Emissions Reduction'!S44</f>
        <v>32746.530708970924</v>
      </c>
      <c r="G17" s="21">
        <f>'Emissions Reduction'!T44</f>
        <v>156110.67304319749</v>
      </c>
      <c r="H17" s="21">
        <f>'Other Highway Use Externalities'!B31</f>
        <v>0</v>
      </c>
      <c r="I17" s="7">
        <f>'Amenity Benefits'!B22</f>
        <v>75846.481211348248</v>
      </c>
      <c r="J17" s="7">
        <f>'Health Benefits'!B26</f>
        <v>347196.1117531975</v>
      </c>
      <c r="K17" s="7">
        <f>'Residual Value'!B34</f>
        <v>0</v>
      </c>
      <c r="L17" s="7">
        <f>'Other Benefit 1'!B19</f>
        <v>0</v>
      </c>
      <c r="M17" s="7">
        <f>'Other Benefit 2'!B19</f>
        <v>0</v>
      </c>
      <c r="N17" s="7">
        <f>'Other Benefit 3'!B19</f>
        <v>0</v>
      </c>
      <c r="O17" s="7">
        <f>'Other Benefit 4'!B23</f>
        <v>0</v>
      </c>
      <c r="P17" s="157">
        <f t="shared" si="0"/>
        <v>9870773.7704895325</v>
      </c>
      <c r="Q17" s="8">
        <f>IFERROR(((P17-G17)/(1.031)^(A17-Overview!$B$22))+((G17)/(1.02)^(A17-Overview!$B$22)),0)</f>
        <v>5892853.9999444541</v>
      </c>
    </row>
    <row r="18" spans="1:17" x14ac:dyDescent="0.25">
      <c r="A18" s="1">
        <f>IF(A17&lt;'Project Information'!B$11,A17+1,"")</f>
        <v>2041</v>
      </c>
      <c r="B18" s="7">
        <f>'Operations and Maintenance'!D20</f>
        <v>108691.77196674851</v>
      </c>
      <c r="C18" s="7">
        <f>Safety!D34</f>
        <v>1982686.7279419191</v>
      </c>
      <c r="D18" s="7">
        <f>'Travel Time Savings'!D32</f>
        <v>8032275.9010318834</v>
      </c>
      <c r="E18" s="7">
        <f>'Vehicle Operating Cost Savings'!D38</f>
        <v>0</v>
      </c>
      <c r="F18" s="21">
        <f>'Emissions Reduction'!S45</f>
        <v>35373.243962525041</v>
      </c>
      <c r="G18" s="21">
        <f>'Emissions Reduction'!T45</f>
        <v>171614.95849289725</v>
      </c>
      <c r="H18" s="21">
        <f>'Other Highway Use Externalities'!B32</f>
        <v>0</v>
      </c>
      <c r="I18" s="7">
        <f>'Amenity Benefits'!B23</f>
        <v>76604.946023461729</v>
      </c>
      <c r="J18" s="7">
        <f>'Health Benefits'!B27</f>
        <v>354140.03398826148</v>
      </c>
      <c r="K18" s="7">
        <f>'Residual Value'!B35</f>
        <v>0</v>
      </c>
      <c r="L18" s="7">
        <f>'Other Benefit 1'!B20</f>
        <v>0</v>
      </c>
      <c r="M18" s="7">
        <f>'Other Benefit 2'!B20</f>
        <v>0</v>
      </c>
      <c r="N18" s="7">
        <f>'Other Benefit 3'!B20</f>
        <v>0</v>
      </c>
      <c r="O18" s="7">
        <f>'Other Benefit 4'!B24</f>
        <v>0</v>
      </c>
      <c r="P18" s="157">
        <f t="shared" si="0"/>
        <v>10544004.0394742</v>
      </c>
      <c r="Q18" s="8">
        <f>IFERROR(((P18-G18)/(1.031)^(A18-Overview!$B$22))+((G18)/(1.02)^(A18-Overview!$B$22)),0)</f>
        <v>6107344.8410996776</v>
      </c>
    </row>
    <row r="19" spans="1:17" x14ac:dyDescent="0.25">
      <c r="A19" s="1">
        <f>IF(A18&lt;'Project Information'!B$11,A18+1,"")</f>
        <v>2042</v>
      </c>
      <c r="B19" s="7">
        <f>'Operations and Maintenance'!D21</f>
        <v>111952.52512575097</v>
      </c>
      <c r="C19" s="7">
        <f>Safety!D35</f>
        <v>1931364.899151942</v>
      </c>
      <c r="D19" s="7">
        <f>'Travel Time Savings'!D33</f>
        <v>8760334.698613178</v>
      </c>
      <c r="E19" s="7">
        <f>'Vehicle Operating Cost Savings'!D39</f>
        <v>0</v>
      </c>
      <c r="F19" s="21">
        <f>'Emissions Reduction'!S46</f>
        <v>38007.194928702593</v>
      </c>
      <c r="G19" s="21">
        <f>'Emissions Reduction'!T46</f>
        <v>188203.23285969967</v>
      </c>
      <c r="H19" s="21">
        <f>'Other Highway Use Externalities'!B33</f>
        <v>0</v>
      </c>
      <c r="I19" s="7">
        <f>'Amenity Benefits'!B24</f>
        <v>77370.995483696344</v>
      </c>
      <c r="J19" s="7">
        <f>'Health Benefits'!B28</f>
        <v>361222.83466802671</v>
      </c>
      <c r="K19" s="7">
        <f>'Residual Value'!B36</f>
        <v>0</v>
      </c>
      <c r="L19" s="7">
        <f>'Other Benefit 1'!B21</f>
        <v>0</v>
      </c>
      <c r="M19" s="7">
        <f>'Other Benefit 2'!B21</f>
        <v>0</v>
      </c>
      <c r="N19" s="7">
        <f>'Other Benefit 3'!B21</f>
        <v>0</v>
      </c>
      <c r="O19" s="7">
        <f>'Other Benefit 4'!B25</f>
        <v>0</v>
      </c>
      <c r="P19" s="157">
        <f t="shared" si="0"/>
        <v>11244551.330579493</v>
      </c>
      <c r="Q19" s="8">
        <f>IFERROR(((P19-G19)/(1.031)^(A19-Overview!$B$22))+((G19)/(1.02)^(A19-Overview!$B$22)),0)</f>
        <v>6319279.9097235417</v>
      </c>
    </row>
    <row r="20" spans="1:17" x14ac:dyDescent="0.25">
      <c r="A20" s="1">
        <f>IF(A19&lt;'Project Information'!B$11,A19+1,"")</f>
        <v>2043</v>
      </c>
      <c r="B20" s="7">
        <f>'Operations and Maintenance'!D22</f>
        <v>115311.1008795235</v>
      </c>
      <c r="C20" s="7">
        <f>Safety!D36</f>
        <v>1846218.9523928373</v>
      </c>
      <c r="D20" s="7">
        <f>'Travel Time Savings'!D34</f>
        <v>9508848.8356328961</v>
      </c>
      <c r="E20" s="7">
        <f>'Vehicle Operating Cost Savings'!D40</f>
        <v>0</v>
      </c>
      <c r="F20" s="21">
        <f>'Emissions Reduction'!S47</f>
        <v>40649.264462365871</v>
      </c>
      <c r="G20" s="21">
        <f>'Emissions Reduction'!T47</f>
        <v>205386.52814041937</v>
      </c>
      <c r="H20" s="21">
        <f>'Other Highway Use Externalities'!B34</f>
        <v>0</v>
      </c>
      <c r="I20" s="7">
        <f>'Amenity Benefits'!B25</f>
        <v>78144.705438533303</v>
      </c>
      <c r="J20" s="7">
        <f>'Health Benefits'!B29</f>
        <v>368447.29136138724</v>
      </c>
      <c r="K20" s="7">
        <f>'Residual Value'!B37</f>
        <v>0</v>
      </c>
      <c r="L20" s="7">
        <f>'Other Benefit 1'!B22</f>
        <v>0</v>
      </c>
      <c r="M20" s="7">
        <f>'Other Benefit 2'!B22</f>
        <v>0</v>
      </c>
      <c r="N20" s="7">
        <f>'Other Benefit 3'!B22</f>
        <v>0</v>
      </c>
      <c r="O20" s="7">
        <f>'Other Benefit 4'!B26</f>
        <v>0</v>
      </c>
      <c r="P20" s="157">
        <f t="shared" si="0"/>
        <v>11932384.476548918</v>
      </c>
      <c r="Q20" s="8">
        <f>IFERROR(((P20-G20)/(1.031)^(A20-Overview!$B$22))+((G20)/(1.02)^(A20-Overview!$B$22)),0)</f>
        <v>6506373.042944991</v>
      </c>
    </row>
    <row r="21" spans="1:17" x14ac:dyDescent="0.25">
      <c r="A21" s="1">
        <f>IF(A20&lt;'Project Information'!B$11,A20+1,"")</f>
        <v>2044</v>
      </c>
      <c r="B21" s="7">
        <f>'Operations and Maintenance'!D23</f>
        <v>118770.4339059092</v>
      </c>
      <c r="C21" s="7">
        <f>Safety!D37</f>
        <v>1822752.6438831347</v>
      </c>
      <c r="D21" s="7">
        <f>'Travel Time Savings'!D35</f>
        <v>10278692.954639312</v>
      </c>
      <c r="E21" s="7">
        <f>'Vehicle Operating Cost Savings'!D41</f>
        <v>0</v>
      </c>
      <c r="F21" s="21">
        <f>'Emissions Reduction'!S48</f>
        <v>43300.323327824357</v>
      </c>
      <c r="G21" s="21">
        <f>'Emissions Reduction'!T48</f>
        <v>222501.68033725064</v>
      </c>
      <c r="H21" s="21">
        <f>'Other Highway Use Externalities'!B35</f>
        <v>0</v>
      </c>
      <c r="I21" s="7">
        <f>'Amenity Benefits'!B26</f>
        <v>78926.152492918642</v>
      </c>
      <c r="J21" s="7">
        <f>'Health Benefits'!B30</f>
        <v>375816.23718861496</v>
      </c>
      <c r="K21" s="7">
        <f>'Residual Value'!B38</f>
        <v>0</v>
      </c>
      <c r="L21" s="7">
        <f>'Other Benefit 1'!B23</f>
        <v>0</v>
      </c>
      <c r="M21" s="7">
        <f>'Other Benefit 2'!B23</f>
        <v>0</v>
      </c>
      <c r="N21" s="7">
        <f>'Other Benefit 3'!B23</f>
        <v>0</v>
      </c>
      <c r="O21" s="7">
        <f>'Other Benefit 4'!B27</f>
        <v>0</v>
      </c>
      <c r="P21" s="157">
        <f t="shared" si="0"/>
        <v>12703219.557963146</v>
      </c>
      <c r="Q21" s="8">
        <f>IFERROR(((P21-G21)/(1.031)^(A21-Overview!$B$22))+((G21)/(1.02)^(A21-Overview!$B$22)),0)</f>
        <v>6720466.6366176065</v>
      </c>
    </row>
    <row r="22" spans="1:17" x14ac:dyDescent="0.25">
      <c r="A22" s="1">
        <f>IF(A21&lt;'Project Information'!B$11,A21+1,"")</f>
        <v>2045</v>
      </c>
      <c r="B22" s="7">
        <f>'Operations and Maintenance'!D24</f>
        <v>122333.54692308648</v>
      </c>
      <c r="C22" s="7">
        <f>Safety!D38</f>
        <v>1771845.5617397737</v>
      </c>
      <c r="D22" s="7">
        <f>'Travel Time Savings'!D36</f>
        <v>11070774.718759468</v>
      </c>
      <c r="E22" s="7">
        <f>'Vehicle Operating Cost Savings'!D42</f>
        <v>0</v>
      </c>
      <c r="F22" s="21">
        <f>'Emissions Reduction'!S49</f>
        <v>45961.23198922156</v>
      </c>
      <c r="G22" s="21">
        <f>'Emissions Reduction'!T49</f>
        <v>240876.20161021216</v>
      </c>
      <c r="H22" s="21">
        <f>'Other Highway Use Externalities'!B36</f>
        <v>0</v>
      </c>
      <c r="I22" s="7">
        <f>'Amenity Benefits'!B27</f>
        <v>79715.414017847826</v>
      </c>
      <c r="J22" s="7">
        <f>'Health Benefits'!B31</f>
        <v>383332.5619323873</v>
      </c>
      <c r="K22" s="7">
        <f>'Residual Value'!B39</f>
        <v>0</v>
      </c>
      <c r="L22" s="7">
        <f>'Other Benefit 1'!B24</f>
        <v>0</v>
      </c>
      <c r="M22" s="7">
        <f>'Other Benefit 2'!B24</f>
        <v>0</v>
      </c>
      <c r="N22" s="7">
        <f>'Other Benefit 3'!B24</f>
        <v>0</v>
      </c>
      <c r="O22" s="7">
        <f>'Other Benefit 4'!B28</f>
        <v>0</v>
      </c>
      <c r="P22" s="157">
        <f t="shared" si="0"/>
        <v>13470172.143125825</v>
      </c>
      <c r="Q22" s="8">
        <f>IFERROR(((P22-G22)/(1.031)^(A22-Overview!$B$22))+((G22)/(1.02)^(A22-Overview!$B$22)),0)</f>
        <v>6914242.4187403312</v>
      </c>
    </row>
    <row r="23" spans="1:17" x14ac:dyDescent="0.25">
      <c r="A23" s="1">
        <f>IF(A22&lt;'Project Information'!B$11,A22+1,"")</f>
        <v>2046</v>
      </c>
      <c r="B23" s="7">
        <f>'Operations and Maintenance'!D25</f>
        <v>126003.55333077908</v>
      </c>
      <c r="C23" s="7">
        <f>Safety!D39</f>
        <v>1690469.8385382835</v>
      </c>
      <c r="D23" s="7">
        <f>'Travel Time Savings'!D37</f>
        <v>11886036.19709013</v>
      </c>
      <c r="E23" s="7">
        <f>'Vehicle Operating Cost Savings'!D43</f>
        <v>0</v>
      </c>
      <c r="F23" s="21">
        <f>'Emissions Reduction'!S50</f>
        <v>48632.840374604719</v>
      </c>
      <c r="G23" s="21">
        <f>'Emissions Reduction'!T50</f>
        <v>259892.55284645455</v>
      </c>
      <c r="H23" s="21">
        <f>'Other Highway Use Externalities'!B37</f>
        <v>0</v>
      </c>
      <c r="I23" s="7">
        <f>'Amenity Benefits'!B28</f>
        <v>80512.568158026319</v>
      </c>
      <c r="J23" s="7">
        <f>'Health Benefits'!B32</f>
        <v>390999.21317103505</v>
      </c>
      <c r="K23" s="7">
        <f>'Residual Value'!B40</f>
        <v>0</v>
      </c>
      <c r="L23" s="7">
        <f>'Other Benefit 1'!B25</f>
        <v>0</v>
      </c>
      <c r="M23" s="7">
        <f>'Other Benefit 2'!B25</f>
        <v>0</v>
      </c>
      <c r="N23" s="7">
        <f>'Other Benefit 3'!B25</f>
        <v>0</v>
      </c>
      <c r="O23" s="7">
        <f>'Other Benefit 4'!B29</f>
        <v>0</v>
      </c>
      <c r="P23" s="157">
        <f t="shared" si="0"/>
        <v>14230539.656847754</v>
      </c>
      <c r="Q23" s="8">
        <f>IFERROR(((P23-G23)/(1.031)^(A23-Overview!$B$22))+((G23)/(1.02)^(A23-Overview!$B$22)),0)</f>
        <v>7087380.2502249628</v>
      </c>
    </row>
    <row r="24" spans="1:17" x14ac:dyDescent="0.25">
      <c r="A24" s="1">
        <f>IF(A23&lt;'Project Information'!B$11,A23+1,"")</f>
        <v>2047</v>
      </c>
      <c r="B24" s="7">
        <f>'Operations and Maintenance'!D26</f>
        <v>129783.65993070244</v>
      </c>
      <c r="C24" s="7">
        <f>Safety!D40</f>
        <v>1666052.7785858847</v>
      </c>
      <c r="D24" s="7">
        <f>'Travel Time Savings'!D38</f>
        <v>12725455.308007099</v>
      </c>
      <c r="E24" s="7">
        <f>'Vehicle Operating Cost Savings'!D44</f>
        <v>0</v>
      </c>
      <c r="F24" s="21">
        <f>'Emissions Reduction'!S51</f>
        <v>51315.987612689496</v>
      </c>
      <c r="G24" s="21">
        <f>'Emissions Reduction'!T51</f>
        <v>280382.79024915234</v>
      </c>
      <c r="H24" s="21">
        <f>'Other Highway Use Externalities'!B38</f>
        <v>0</v>
      </c>
      <c r="I24" s="7">
        <f>'Amenity Benefits'!B29</f>
        <v>81317.693839606582</v>
      </c>
      <c r="J24" s="7">
        <f>'Health Benefits'!B33</f>
        <v>398819.19743445574</v>
      </c>
      <c r="K24" s="7">
        <f>'Residual Value'!B41</f>
        <v>0</v>
      </c>
      <c r="L24" s="7">
        <f>'Other Benefit 1'!B26</f>
        <v>0</v>
      </c>
      <c r="M24" s="7">
        <f>'Other Benefit 2'!B26</f>
        <v>0</v>
      </c>
      <c r="N24" s="7">
        <f>'Other Benefit 3'!B26</f>
        <v>0</v>
      </c>
      <c r="O24" s="7">
        <f>'Other Benefit 4'!B30</f>
        <v>0</v>
      </c>
      <c r="P24" s="157">
        <f t="shared" si="0"/>
        <v>15073560.095798183</v>
      </c>
      <c r="Q24" s="8">
        <f>IFERROR(((P24-G24)/(1.031)^(A24-Overview!$B$22))+((G24)/(1.02)^(A24-Overview!$B$22)),0)</f>
        <v>7284056.3500273488</v>
      </c>
    </row>
    <row r="25" spans="1:17" x14ac:dyDescent="0.25">
      <c r="A25" s="1">
        <f>IF(A24&lt;'Project Information'!B$11,A24+1,"")</f>
        <v>2048</v>
      </c>
      <c r="B25" s="7">
        <f>'Operations and Maintenance'!D27</f>
        <v>133677.16972862353</v>
      </c>
      <c r="C25" s="7">
        <f>Safety!D41</f>
        <v>1624271.8666394858</v>
      </c>
      <c r="D25" s="7">
        <f>'Travel Time Savings'!D39</f>
        <v>13590047.322888868</v>
      </c>
      <c r="E25" s="7">
        <f>'Vehicle Operating Cost Savings'!D45</f>
        <v>0</v>
      </c>
      <c r="F25" s="21">
        <f>'Emissions Reduction'!S52</f>
        <v>54436.25057319527</v>
      </c>
      <c r="G25" s="21">
        <f>'Emissions Reduction'!T52</f>
        <v>300950.88046905462</v>
      </c>
      <c r="H25" s="21">
        <f>'Other Highway Use Externalities'!B39</f>
        <v>0</v>
      </c>
      <c r="I25" s="7">
        <f>'Amenity Benefits'!B30</f>
        <v>82130.870778002645</v>
      </c>
      <c r="J25" s="7">
        <f>'Health Benefits'!B34</f>
        <v>406795.58138314483</v>
      </c>
      <c r="K25" s="7">
        <f>'Residual Value'!B42</f>
        <v>0</v>
      </c>
      <c r="L25" s="7">
        <f>'Other Benefit 1'!B27</f>
        <v>0</v>
      </c>
      <c r="M25" s="7">
        <f>'Other Benefit 2'!B27</f>
        <v>0</v>
      </c>
      <c r="N25" s="7">
        <f>'Other Benefit 3'!B27</f>
        <v>0</v>
      </c>
      <c r="O25" s="7">
        <f>'Other Benefit 4'!B31</f>
        <v>0</v>
      </c>
      <c r="P25" s="157">
        <f t="shared" si="0"/>
        <v>15924955.603003126</v>
      </c>
      <c r="Q25" s="8">
        <f>IFERROR(((P25-G25)/(1.031)^(A25-Overview!$B$22))+((G25)/(1.02)^(A25-Overview!$B$22)),0)</f>
        <v>7466697.4376940457</v>
      </c>
    </row>
    <row r="26" spans="1:17" x14ac:dyDescent="0.25">
      <c r="A26" s="1" t="str">
        <f>IF(A25&lt;'Project Information'!B$11,A25+1,"")</f>
        <v/>
      </c>
      <c r="B26" s="7">
        <f>'Operations and Maintenance'!D28</f>
        <v>0</v>
      </c>
      <c r="C26" s="7">
        <f>Safety!D42</f>
        <v>0</v>
      </c>
      <c r="D26" s="7">
        <f>'Travel Time Savings'!D40</f>
        <v>0</v>
      </c>
      <c r="E26" s="7">
        <f>'Vehicle Operating Cost Savings'!D46</f>
        <v>0</v>
      </c>
      <c r="F26" s="21">
        <f>'Emissions Reduction'!S53</f>
        <v>0</v>
      </c>
      <c r="G26" s="21">
        <f>'Emissions Reduction'!T53</f>
        <v>0</v>
      </c>
      <c r="H26" s="21">
        <f>'Other Highway Use Externalities'!B40</f>
        <v>0</v>
      </c>
      <c r="I26" s="7">
        <f>'Amenity Benefits'!B31</f>
        <v>0</v>
      </c>
      <c r="J26" s="7">
        <f>'Health Benefits'!B35</f>
        <v>0</v>
      </c>
      <c r="K26" s="7">
        <f>'Residual Value'!B43</f>
        <v>0</v>
      </c>
      <c r="L26" s="7">
        <f>'Other Benefit 1'!B28</f>
        <v>0</v>
      </c>
      <c r="M26" s="7">
        <f>'Other Benefit 2'!B28</f>
        <v>0</v>
      </c>
      <c r="N26" s="7">
        <f>'Other Benefit 3'!B28</f>
        <v>0</v>
      </c>
      <c r="O26" s="7">
        <f>'Other Benefit 4'!B32</f>
        <v>0</v>
      </c>
      <c r="P26" s="157">
        <f t="shared" si="0"/>
        <v>0</v>
      </c>
      <c r="Q26" s="8">
        <f>IFERROR(((P26-G26)/(1.031)^(A26-Overview!$B$22))+((G26)/(1.02)^(A26-Overview!$B$22)),0)</f>
        <v>0</v>
      </c>
    </row>
    <row r="27" spans="1:17" x14ac:dyDescent="0.25">
      <c r="A27" s="1" t="str">
        <f>IF(A26&lt;'Project Information'!B$11,A26+1,"")</f>
        <v/>
      </c>
      <c r="B27" s="7">
        <f>'Operations and Maintenance'!D29</f>
        <v>0</v>
      </c>
      <c r="C27" s="7">
        <f>Safety!D43</f>
        <v>0</v>
      </c>
      <c r="D27" s="7">
        <f>'Travel Time Savings'!D41</f>
        <v>0</v>
      </c>
      <c r="E27" s="7">
        <f>'Vehicle Operating Cost Savings'!D47</f>
        <v>0</v>
      </c>
      <c r="F27" s="21">
        <f>'Emissions Reduction'!S54</f>
        <v>0</v>
      </c>
      <c r="G27" s="21">
        <f>'Emissions Reduction'!T54</f>
        <v>0</v>
      </c>
      <c r="H27" s="21">
        <f>'Other Highway Use Externalities'!B41</f>
        <v>0</v>
      </c>
      <c r="I27" s="7">
        <f>'Amenity Benefits'!B32</f>
        <v>0</v>
      </c>
      <c r="J27" s="7">
        <f>'Health Benefits'!B36</f>
        <v>0</v>
      </c>
      <c r="K27" s="7">
        <f>'Residual Value'!B44</f>
        <v>0</v>
      </c>
      <c r="L27" s="7">
        <f>'Other Benefit 1'!B29</f>
        <v>0</v>
      </c>
      <c r="M27" s="7">
        <f>'Other Benefit 2'!B29</f>
        <v>0</v>
      </c>
      <c r="N27" s="7">
        <f>'Other Benefit 3'!B29</f>
        <v>0</v>
      </c>
      <c r="O27" s="7">
        <f>'Other Benefit 4'!B33</f>
        <v>0</v>
      </c>
      <c r="P27" s="157">
        <f t="shared" si="0"/>
        <v>0</v>
      </c>
      <c r="Q27" s="8">
        <f>IFERROR(((P27-G27)/(1.031)^(A27-Overview!$B$22))+((G27)/(1.02)^(A27-Overview!$B$22)),0)</f>
        <v>0</v>
      </c>
    </row>
    <row r="28" spans="1:17" x14ac:dyDescent="0.25">
      <c r="A28" s="1" t="str">
        <f>IF(A27&lt;'Project Information'!B$11,A27+1,"")</f>
        <v/>
      </c>
      <c r="B28" s="7">
        <f>'Operations and Maintenance'!D30</f>
        <v>0</v>
      </c>
      <c r="C28" s="7">
        <f>Safety!D44</f>
        <v>0</v>
      </c>
      <c r="D28" s="7">
        <f>'Travel Time Savings'!D42</f>
        <v>0</v>
      </c>
      <c r="E28" s="7">
        <f>'Vehicle Operating Cost Savings'!D48</f>
        <v>0</v>
      </c>
      <c r="F28" s="21">
        <f>'Emissions Reduction'!S55</f>
        <v>0</v>
      </c>
      <c r="G28" s="21">
        <f>'Emissions Reduction'!T55</f>
        <v>0</v>
      </c>
      <c r="H28" s="21">
        <f>'Other Highway Use Externalities'!B42</f>
        <v>0</v>
      </c>
      <c r="I28" s="7">
        <f>'Amenity Benefits'!B33</f>
        <v>0</v>
      </c>
      <c r="J28" s="7">
        <f>'Health Benefits'!B37</f>
        <v>0</v>
      </c>
      <c r="K28" s="7">
        <f>'Residual Value'!B45</f>
        <v>0</v>
      </c>
      <c r="L28" s="7">
        <f>'Other Benefit 1'!B30</f>
        <v>0</v>
      </c>
      <c r="M28" s="7">
        <f>'Other Benefit 2'!B30</f>
        <v>0</v>
      </c>
      <c r="N28" s="7">
        <f>'Other Benefit 3'!B30</f>
        <v>0</v>
      </c>
      <c r="O28" s="7">
        <f>'Other Benefit 4'!B34</f>
        <v>0</v>
      </c>
      <c r="P28" s="157">
        <f t="shared" si="0"/>
        <v>0</v>
      </c>
      <c r="Q28" s="8">
        <f>IFERROR(((P28-G28)/(1.031)^(A28-Overview!$B$22))+((G28)/(1.02)^(A28-Overview!$B$22)),0)</f>
        <v>0</v>
      </c>
    </row>
    <row r="29" spans="1:17" x14ac:dyDescent="0.25">
      <c r="A29" s="1" t="str">
        <f>IF(A28&lt;'Project Information'!B$11,A28+1,"")</f>
        <v/>
      </c>
      <c r="B29" s="7">
        <f>'Operations and Maintenance'!D31</f>
        <v>0</v>
      </c>
      <c r="C29" s="7">
        <f>Safety!D45</f>
        <v>0</v>
      </c>
      <c r="D29" s="7">
        <f>'Travel Time Savings'!D43</f>
        <v>0</v>
      </c>
      <c r="E29" s="7">
        <f>'Vehicle Operating Cost Savings'!D49</f>
        <v>0</v>
      </c>
      <c r="F29" s="21">
        <f>'Emissions Reduction'!S56</f>
        <v>0</v>
      </c>
      <c r="G29" s="21">
        <f>'Emissions Reduction'!T56</f>
        <v>0</v>
      </c>
      <c r="H29" s="21">
        <f>'Other Highway Use Externalities'!B43</f>
        <v>0</v>
      </c>
      <c r="I29" s="7">
        <f>'Amenity Benefits'!B34</f>
        <v>0</v>
      </c>
      <c r="J29" s="7">
        <f>'Health Benefits'!B38</f>
        <v>0</v>
      </c>
      <c r="K29" s="7">
        <f>'Residual Value'!B46</f>
        <v>0</v>
      </c>
      <c r="L29" s="7">
        <f>'Other Benefit 1'!B31</f>
        <v>0</v>
      </c>
      <c r="M29" s="7">
        <f>'Other Benefit 2'!B31</f>
        <v>0</v>
      </c>
      <c r="N29" s="7">
        <f>'Other Benefit 3'!B31</f>
        <v>0</v>
      </c>
      <c r="O29" s="7">
        <f>'Other Benefit 4'!B35</f>
        <v>0</v>
      </c>
      <c r="P29" s="157">
        <f t="shared" si="0"/>
        <v>0</v>
      </c>
      <c r="Q29" s="8">
        <f>IFERROR(((P29-G29)/(1.031)^(A29-Overview!$B$22))+((G29)/(1.02)^(A29-Overview!$B$22)),0)</f>
        <v>0</v>
      </c>
    </row>
    <row r="30" spans="1:17" x14ac:dyDescent="0.25">
      <c r="A30" s="1" t="str">
        <f>IF(A29&lt;'Project Information'!B$11,A29+1,"")</f>
        <v/>
      </c>
      <c r="B30" s="7">
        <f>'Operations and Maintenance'!D32</f>
        <v>0</v>
      </c>
      <c r="C30" s="7">
        <f>Safety!D46</f>
        <v>0</v>
      </c>
      <c r="D30" s="7">
        <f>'Travel Time Savings'!D44</f>
        <v>0</v>
      </c>
      <c r="E30" s="7">
        <f>'Vehicle Operating Cost Savings'!D50</f>
        <v>0</v>
      </c>
      <c r="F30" s="21">
        <f>'Emissions Reduction'!S57</f>
        <v>0</v>
      </c>
      <c r="G30" s="21">
        <f>'Emissions Reduction'!T57</f>
        <v>0</v>
      </c>
      <c r="H30" s="21">
        <f>'Other Highway Use Externalities'!B44</f>
        <v>0</v>
      </c>
      <c r="I30" s="7">
        <f>'Amenity Benefits'!B35</f>
        <v>0</v>
      </c>
      <c r="J30" s="7">
        <f>'Health Benefits'!B39</f>
        <v>0</v>
      </c>
      <c r="K30" s="7">
        <f>'Residual Value'!B47</f>
        <v>0</v>
      </c>
      <c r="L30" s="7">
        <f>'Other Benefit 1'!B32</f>
        <v>0</v>
      </c>
      <c r="M30" s="7">
        <f>'Other Benefit 2'!B32</f>
        <v>0</v>
      </c>
      <c r="N30" s="7">
        <f>'Other Benefit 3'!B32</f>
        <v>0</v>
      </c>
      <c r="O30" s="7">
        <f>'Other Benefit 4'!B36</f>
        <v>0</v>
      </c>
      <c r="P30" s="157">
        <f t="shared" si="0"/>
        <v>0</v>
      </c>
      <c r="Q30" s="8">
        <f>IFERROR(((P30-G30)/(1.031)^(A30-Overview!$B$22))+((G30)/(1.02)^(A30-Overview!$B$22)),0)</f>
        <v>0</v>
      </c>
    </row>
    <row r="31" spans="1:17" x14ac:dyDescent="0.25">
      <c r="A31" s="1" t="str">
        <f>IF(A30&lt;'Project Information'!B$11,A30+1,"")</f>
        <v/>
      </c>
      <c r="B31" s="7">
        <f>'Operations and Maintenance'!D33</f>
        <v>0</v>
      </c>
      <c r="C31" s="7">
        <f>Safety!D47</f>
        <v>0</v>
      </c>
      <c r="D31" s="7">
        <f>'Travel Time Savings'!D45</f>
        <v>0</v>
      </c>
      <c r="E31" s="7">
        <f>'Vehicle Operating Cost Savings'!D51</f>
        <v>0</v>
      </c>
      <c r="F31" s="21">
        <f>'Emissions Reduction'!S58</f>
        <v>0</v>
      </c>
      <c r="G31" s="21">
        <f>'Emissions Reduction'!T58</f>
        <v>0</v>
      </c>
      <c r="H31" s="21">
        <f>'Other Highway Use Externalities'!B45</f>
        <v>0</v>
      </c>
      <c r="I31" s="7">
        <f>'Amenity Benefits'!B36</f>
        <v>0</v>
      </c>
      <c r="J31" s="7">
        <f>'Health Benefits'!B40</f>
        <v>0</v>
      </c>
      <c r="K31" s="7">
        <f>'Residual Value'!B48</f>
        <v>0</v>
      </c>
      <c r="L31" s="7">
        <f>'Other Benefit 1'!B33</f>
        <v>0</v>
      </c>
      <c r="M31" s="7">
        <f>'Other Benefit 2'!B33</f>
        <v>0</v>
      </c>
      <c r="N31" s="7">
        <f>'Other Benefit 3'!B33</f>
        <v>0</v>
      </c>
      <c r="O31" s="7">
        <f>'Other Benefit 4'!B37</f>
        <v>0</v>
      </c>
      <c r="P31" s="157">
        <f t="shared" si="0"/>
        <v>0</v>
      </c>
      <c r="Q31" s="8">
        <f>IFERROR(((P31-G31)/(1.031)^(A31-Overview!$B$22))+((G31)/(1.02)^(A31-Overview!$B$22)),0)</f>
        <v>0</v>
      </c>
    </row>
    <row r="32" spans="1:17" x14ac:dyDescent="0.25">
      <c r="A32" s="1" t="str">
        <f>IF(A31&lt;'Project Information'!B$11,A31+1,"")</f>
        <v/>
      </c>
      <c r="B32" s="7">
        <f>'Operations and Maintenance'!D34</f>
        <v>0</v>
      </c>
      <c r="C32" s="7">
        <f>Safety!D48</f>
        <v>0</v>
      </c>
      <c r="D32" s="7">
        <f>'Travel Time Savings'!D46</f>
        <v>0</v>
      </c>
      <c r="E32" s="7">
        <f>'Vehicle Operating Cost Savings'!D52</f>
        <v>0</v>
      </c>
      <c r="F32" s="21">
        <f>'Emissions Reduction'!S59</f>
        <v>0</v>
      </c>
      <c r="G32" s="21">
        <f>'Emissions Reduction'!T59</f>
        <v>0</v>
      </c>
      <c r="H32" s="21">
        <f>'Other Highway Use Externalities'!B46</f>
        <v>0</v>
      </c>
      <c r="I32" s="7">
        <f>'Amenity Benefits'!B37</f>
        <v>0</v>
      </c>
      <c r="J32" s="7">
        <f>'Health Benefits'!B41</f>
        <v>0</v>
      </c>
      <c r="K32" s="7">
        <f>'Residual Value'!B49</f>
        <v>0</v>
      </c>
      <c r="L32" s="7">
        <f>'Other Benefit 1'!B34</f>
        <v>0</v>
      </c>
      <c r="M32" s="7">
        <f>'Other Benefit 2'!B34</f>
        <v>0</v>
      </c>
      <c r="N32" s="7">
        <f>'Other Benefit 3'!B34</f>
        <v>0</v>
      </c>
      <c r="O32" s="7">
        <f>'Other Benefit 4'!B38</f>
        <v>0</v>
      </c>
      <c r="P32" s="157">
        <f t="shared" si="0"/>
        <v>0</v>
      </c>
      <c r="Q32" s="8">
        <f>IFERROR(((P32-G32)/(1.031)^(A32-Overview!$B$22))+((G32)/(1.02)^(A32-Overview!$B$22)),0)</f>
        <v>0</v>
      </c>
    </row>
    <row r="33" spans="1:17" x14ac:dyDescent="0.25">
      <c r="A33" s="1" t="str">
        <f>IF(A32&lt;'Project Information'!B$11,A32+1,"")</f>
        <v/>
      </c>
      <c r="B33" s="7">
        <f>'Operations and Maintenance'!D35</f>
        <v>0</v>
      </c>
      <c r="C33" s="7">
        <f>Safety!D49</f>
        <v>0</v>
      </c>
      <c r="D33" s="7">
        <f>'Travel Time Savings'!D47</f>
        <v>0</v>
      </c>
      <c r="E33" s="7">
        <f>'Vehicle Operating Cost Savings'!D53</f>
        <v>0</v>
      </c>
      <c r="F33" s="21">
        <f>'Emissions Reduction'!S60</f>
        <v>0</v>
      </c>
      <c r="G33" s="21">
        <f>'Emissions Reduction'!T60</f>
        <v>0</v>
      </c>
      <c r="H33" s="21">
        <f>'Other Highway Use Externalities'!B47</f>
        <v>0</v>
      </c>
      <c r="I33" s="7">
        <f>'Amenity Benefits'!B38</f>
        <v>0</v>
      </c>
      <c r="J33" s="7">
        <f>'Health Benefits'!B42</f>
        <v>0</v>
      </c>
      <c r="K33" s="7">
        <f>'Residual Value'!B50</f>
        <v>0</v>
      </c>
      <c r="L33" s="7">
        <f>'Other Benefit 1'!B35</f>
        <v>0</v>
      </c>
      <c r="M33" s="7">
        <f>'Other Benefit 2'!B35</f>
        <v>0</v>
      </c>
      <c r="N33" s="7">
        <f>'Other Benefit 3'!B35</f>
        <v>0</v>
      </c>
      <c r="O33" s="7">
        <f>'Other Benefit 4'!B39</f>
        <v>0</v>
      </c>
      <c r="P33" s="157">
        <f t="shared" si="0"/>
        <v>0</v>
      </c>
      <c r="Q33" s="8">
        <f>IFERROR(((P33-G33)/(1.031)^(A33-Overview!$B$22))+((G33)/(1.02)^(A33-Overview!$B$22)),0)</f>
        <v>0</v>
      </c>
    </row>
    <row r="34" spans="1:17" x14ac:dyDescent="0.25">
      <c r="A34" s="1" t="str">
        <f>IF(A33&lt;'Project Information'!B$11,A33+1,"")</f>
        <v/>
      </c>
      <c r="B34" s="7">
        <f>'Operations and Maintenance'!D36</f>
        <v>0</v>
      </c>
      <c r="C34" s="7">
        <f>Safety!D50</f>
        <v>0</v>
      </c>
      <c r="D34" s="7">
        <f>'Travel Time Savings'!D48</f>
        <v>0</v>
      </c>
      <c r="E34" s="7">
        <f>'Vehicle Operating Cost Savings'!D54</f>
        <v>0</v>
      </c>
      <c r="F34" s="21">
        <f>'Emissions Reduction'!S61</f>
        <v>0</v>
      </c>
      <c r="G34" s="21">
        <f>'Emissions Reduction'!T61</f>
        <v>0</v>
      </c>
      <c r="H34" s="21">
        <f>'Other Highway Use Externalities'!B48</f>
        <v>0</v>
      </c>
      <c r="I34" s="7">
        <f>'Amenity Benefits'!B39</f>
        <v>0</v>
      </c>
      <c r="J34" s="7">
        <f>'Health Benefits'!B43</f>
        <v>0</v>
      </c>
      <c r="K34" s="7">
        <f>'Residual Value'!B51</f>
        <v>0</v>
      </c>
      <c r="L34" s="7">
        <f>'Other Benefit 1'!B36</f>
        <v>0</v>
      </c>
      <c r="M34" s="7">
        <f>'Other Benefit 2'!B36</f>
        <v>0</v>
      </c>
      <c r="N34" s="7">
        <f>'Other Benefit 3'!B36</f>
        <v>0</v>
      </c>
      <c r="O34" s="7">
        <f>'Other Benefit 4'!B40</f>
        <v>0</v>
      </c>
      <c r="P34" s="157">
        <f t="shared" si="0"/>
        <v>0</v>
      </c>
      <c r="Q34" s="8">
        <f>IFERROR(((P34-G34)/(1.031)^(A34-Overview!$B$22))+((G34)/(1.02)^(A34-Overview!$B$22)),0)</f>
        <v>0</v>
      </c>
    </row>
    <row r="35" spans="1:17" x14ac:dyDescent="0.25">
      <c r="A35" s="1" t="str">
        <f>IF(A34&lt;'Project Information'!B$11,A34+1,"")</f>
        <v/>
      </c>
      <c r="B35" s="7">
        <f>'Operations and Maintenance'!D37</f>
        <v>0</v>
      </c>
      <c r="C35" s="7">
        <f>Safety!D51</f>
        <v>0</v>
      </c>
      <c r="D35" s="7">
        <f>'Travel Time Savings'!D49</f>
        <v>0</v>
      </c>
      <c r="E35" s="7">
        <f>'Vehicle Operating Cost Savings'!D55</f>
        <v>0</v>
      </c>
      <c r="F35" s="21">
        <f>'Emissions Reduction'!S62</f>
        <v>0</v>
      </c>
      <c r="G35" s="21">
        <f>'Emissions Reduction'!T62</f>
        <v>0</v>
      </c>
      <c r="H35" s="21">
        <f>'Other Highway Use Externalities'!B49</f>
        <v>0</v>
      </c>
      <c r="I35" s="7">
        <f>'Amenity Benefits'!B40</f>
        <v>0</v>
      </c>
      <c r="J35" s="7">
        <f>'Health Benefits'!B44</f>
        <v>0</v>
      </c>
      <c r="K35" s="7">
        <f>'Residual Value'!B52</f>
        <v>0</v>
      </c>
      <c r="L35" s="7">
        <f>'Other Benefit 1'!B37</f>
        <v>0</v>
      </c>
      <c r="M35" s="7">
        <f>'Other Benefit 2'!B37</f>
        <v>0</v>
      </c>
      <c r="N35" s="7">
        <f>'Other Benefit 3'!B37</f>
        <v>0</v>
      </c>
      <c r="O35" s="7">
        <f>'Other Benefit 4'!B41</f>
        <v>0</v>
      </c>
      <c r="P35" s="157">
        <f t="shared" si="0"/>
        <v>0</v>
      </c>
      <c r="Q35" s="8">
        <f>IFERROR(((P35-G35)/(1.031)^(A35-Overview!$B$22))+((G35)/(1.02)^(A35-Overview!$B$22)),0)</f>
        <v>0</v>
      </c>
    </row>
    <row r="36" spans="1:17" x14ac:dyDescent="0.25">
      <c r="A36" s="3" t="s">
        <v>333</v>
      </c>
      <c r="B36" s="170">
        <f>SUM(B6:B35)</f>
        <v>2048442.0940160733</v>
      </c>
      <c r="C36" s="170">
        <f t="shared" ref="C36:O36" si="1">SUM(C6:C35)</f>
        <v>43005038.193382032</v>
      </c>
      <c r="D36" s="170">
        <f t="shared" si="1"/>
        <v>134409324.78321224</v>
      </c>
      <c r="E36" s="170">
        <f t="shared" si="1"/>
        <v>0</v>
      </c>
      <c r="F36" s="173">
        <f t="shared" si="1"/>
        <v>578358.40001167124</v>
      </c>
      <c r="G36" s="173">
        <f t="shared" si="1"/>
        <v>2844596.9765628274</v>
      </c>
      <c r="H36" s="173">
        <f t="shared" si="1"/>
        <v>0</v>
      </c>
      <c r="I36" s="170">
        <f t="shared" si="1"/>
        <v>1496917.9485782632</v>
      </c>
      <c r="J36" s="170">
        <f t="shared" si="1"/>
        <v>6783784.8205403863</v>
      </c>
      <c r="K36" s="170">
        <f t="shared" si="1"/>
        <v>0</v>
      </c>
      <c r="L36" s="170">
        <f t="shared" si="1"/>
        <v>0</v>
      </c>
      <c r="M36" s="170">
        <f t="shared" si="1"/>
        <v>0</v>
      </c>
      <c r="N36" s="170">
        <f t="shared" si="1"/>
        <v>0</v>
      </c>
      <c r="O36" s="170">
        <f t="shared" si="1"/>
        <v>0</v>
      </c>
      <c r="P36" s="171">
        <f>SUM(P6:P35)</f>
        <v>187069579.02827132</v>
      </c>
      <c r="Q36" s="165"/>
    </row>
    <row r="37" spans="1:17" x14ac:dyDescent="0.25">
      <c r="A37" s="25" t="s">
        <v>179</v>
      </c>
      <c r="B37" s="170">
        <f>NPV(0.031,B6:B35)/(1.031)^($A$6-Overview!$B$22-1)</f>
        <v>1257856.475974733</v>
      </c>
      <c r="C37" s="170">
        <f>NPV(0.031,C6:C35)/(1.031)^($A$6-Overview!$B$22-1)</f>
        <v>27991888.261356991</v>
      </c>
      <c r="D37" s="170">
        <f>NPV(0.031,D6:D35)/(1.031)^($A$6-Overview!$B$22-1)</f>
        <v>76764958.269709691</v>
      </c>
      <c r="E37" s="170">
        <f>NPV(0.031,E6:E35)/(1.031)^($A$6-Overview!$B$22-1)</f>
        <v>0</v>
      </c>
      <c r="F37" s="37">
        <f>NPV(0.031,F6:F35)/(1.031)^($A$6-Overview!$B$22-1)</f>
        <v>332359.3810691777</v>
      </c>
      <c r="G37" s="37">
        <f>NPV(0.02,G6:G35)/(1.02)^($A$6-Overview!$B$22-1)</f>
        <v>1961909.1049890434</v>
      </c>
      <c r="H37" s="37">
        <f>NPV(0.031,H6:H35)/(1.031)^($A$6-Overview!$B$22-1)</f>
        <v>0</v>
      </c>
      <c r="I37" s="170">
        <f>NPV(0.031,I6:I35)/(1.031)^($A$6-Overview!$B$22-1)</f>
        <v>937621.17052447028</v>
      </c>
      <c r="J37" s="170">
        <f>NPV(0.031,J6:J35)/(1.031)^($A$6-Overview!$B$22-1)</f>
        <v>4206732.7966301087</v>
      </c>
      <c r="K37" s="170">
        <f>NPV(0.031,K6:K35)/(1.031)^($A$6-Overview!$B$22-1)</f>
        <v>0</v>
      </c>
      <c r="L37" s="170">
        <f>NPV(0.031,L6:L35)/(1.031)^($A$6-Overview!$B$22-1)</f>
        <v>0</v>
      </c>
      <c r="M37" s="170">
        <f>NPV(0.031,M6:M35)/(1.031)^($A$6-Overview!$B$22-1)</f>
        <v>0</v>
      </c>
      <c r="N37" s="170">
        <f>NPV(0.031,N6:N35)/(1.031)^($A$6-Overview!$B$22-1)</f>
        <v>0</v>
      </c>
      <c r="O37" s="170">
        <f>NPV(0.031,O6:O35)/(1.031)^($A$6-Overview!$B$22-1)</f>
        <v>0</v>
      </c>
      <c r="P37" s="170">
        <f>NPV(0.031,P6:P35)/(1.031)^($A$6-Overview!$B$22-1)</f>
        <v>110586286.58715168</v>
      </c>
      <c r="Q37" s="165">
        <f>SUM(Q6:Q35)</f>
        <v>110937612.50830473</v>
      </c>
    </row>
    <row r="38" spans="1:17" x14ac:dyDescent="0.25">
      <c r="A38" s="5" t="s">
        <v>205</v>
      </c>
    </row>
    <row r="39" spans="1:17" x14ac:dyDescent="0.25">
      <c r="A39" s="97" t="s">
        <v>244</v>
      </c>
    </row>
    <row r="40" spans="1:17" x14ac:dyDescent="0.25">
      <c r="A40" s="110" t="s">
        <v>4</v>
      </c>
      <c r="B40" s="113" t="s">
        <v>5</v>
      </c>
      <c r="C40" s="108" t="s">
        <v>6</v>
      </c>
    </row>
    <row r="41" spans="1:17" x14ac:dyDescent="0.25">
      <c r="A41" s="121">
        <f>'Capital Costs'!A9</f>
        <v>2026</v>
      </c>
      <c r="B41" s="7">
        <f>'Capital Costs'!C9</f>
        <v>2958600</v>
      </c>
      <c r="C41" s="18">
        <f>B41/(1.031)^(A41-Overview!$B$22)</f>
        <v>2699667.3679666915</v>
      </c>
    </row>
    <row r="42" spans="1:17" x14ac:dyDescent="0.25">
      <c r="A42" s="122">
        <f t="shared" ref="A42:A55" si="2">A41+1</f>
        <v>2027</v>
      </c>
      <c r="B42" s="7">
        <f>'Capital Costs'!C10</f>
        <v>13313696</v>
      </c>
      <c r="C42" s="18">
        <f>B42/(1.031)^(A42-Overview!$B$22)</f>
        <v>11783219.695368234</v>
      </c>
    </row>
    <row r="43" spans="1:17" x14ac:dyDescent="0.25">
      <c r="A43" s="122">
        <f t="shared" si="2"/>
        <v>2028</v>
      </c>
      <c r="B43" s="7">
        <f>'Capital Costs'!C11</f>
        <v>17020934</v>
      </c>
      <c r="C43" s="18">
        <f>B43/(1.031)^(A43-Overview!$B$22)</f>
        <v>14611340.48981677</v>
      </c>
    </row>
    <row r="44" spans="1:17" x14ac:dyDescent="0.25">
      <c r="A44" s="122">
        <f t="shared" si="2"/>
        <v>2029</v>
      </c>
      <c r="B44" s="7">
        <f>'Capital Costs'!C12</f>
        <v>0</v>
      </c>
      <c r="C44" s="18">
        <f>B44/(1.031)^(A44-Overview!$B$22)</f>
        <v>0</v>
      </c>
    </row>
    <row r="45" spans="1:17" x14ac:dyDescent="0.25">
      <c r="A45" s="122">
        <f t="shared" si="2"/>
        <v>2030</v>
      </c>
      <c r="B45" s="7">
        <f>'Capital Costs'!C13</f>
        <v>0</v>
      </c>
      <c r="C45" s="18">
        <f>B45/(1.031)^(A45-Overview!$B$22)</f>
        <v>0</v>
      </c>
      <c r="D45" s="36"/>
    </row>
    <row r="46" spans="1:17" x14ac:dyDescent="0.25">
      <c r="A46" s="122">
        <f t="shared" si="2"/>
        <v>2031</v>
      </c>
      <c r="B46" s="7">
        <f>'Capital Costs'!C14</f>
        <v>0</v>
      </c>
      <c r="C46" s="18">
        <f>B46/(1.031)^(A46-Overview!$B$22)</f>
        <v>0</v>
      </c>
      <c r="D46" s="36"/>
    </row>
    <row r="47" spans="1:17" x14ac:dyDescent="0.25">
      <c r="A47" s="122">
        <f t="shared" si="2"/>
        <v>2032</v>
      </c>
      <c r="B47" s="7">
        <f>'Capital Costs'!C15</f>
        <v>0</v>
      </c>
      <c r="C47" s="18">
        <f>B47/(1.031)^(A47-Overview!$B$22)</f>
        <v>0</v>
      </c>
      <c r="D47" s="36"/>
    </row>
    <row r="48" spans="1:17" x14ac:dyDescent="0.25">
      <c r="A48" s="122">
        <f t="shared" si="2"/>
        <v>2033</v>
      </c>
      <c r="B48" s="7">
        <f>'Capital Costs'!C16</f>
        <v>0</v>
      </c>
      <c r="C48" s="18">
        <f>B48/(1.031)^(A48-Overview!$B$22)</f>
        <v>0</v>
      </c>
      <c r="D48" s="36"/>
    </row>
    <row r="49" spans="1:4" x14ac:dyDescent="0.25">
      <c r="A49" s="122">
        <f t="shared" si="2"/>
        <v>2034</v>
      </c>
      <c r="B49" s="7">
        <f>'Capital Costs'!C17</f>
        <v>0</v>
      </c>
      <c r="C49" s="18">
        <f>B49/(1.031)^(A49-Overview!$B$22)</f>
        <v>0</v>
      </c>
      <c r="D49" s="36"/>
    </row>
    <row r="50" spans="1:4" x14ac:dyDescent="0.25">
      <c r="A50" s="122">
        <f t="shared" si="2"/>
        <v>2035</v>
      </c>
      <c r="B50" s="7">
        <f>'Capital Costs'!C18</f>
        <v>0</v>
      </c>
      <c r="C50" s="18">
        <f>B50/(1.031)^(A50-Overview!$B$22)</f>
        <v>0</v>
      </c>
    </row>
    <row r="51" spans="1:4" x14ac:dyDescent="0.25">
      <c r="A51" s="122">
        <f t="shared" si="2"/>
        <v>2036</v>
      </c>
      <c r="B51" s="7">
        <f>'Capital Costs'!C19</f>
        <v>0</v>
      </c>
      <c r="C51" s="18">
        <f>B51/(1.031)^(A51-Overview!$B$22)</f>
        <v>0</v>
      </c>
    </row>
    <row r="52" spans="1:4" x14ac:dyDescent="0.25">
      <c r="A52" s="122">
        <f t="shared" si="2"/>
        <v>2037</v>
      </c>
      <c r="B52" s="7">
        <f>'Capital Costs'!C20</f>
        <v>0</v>
      </c>
      <c r="C52" s="18">
        <f>B52/(1.031)^(A52-Overview!$B$22)</f>
        <v>0</v>
      </c>
    </row>
    <row r="53" spans="1:4" x14ac:dyDescent="0.25">
      <c r="A53" s="122">
        <f t="shared" si="2"/>
        <v>2038</v>
      </c>
      <c r="B53" s="7">
        <f>'Capital Costs'!C21</f>
        <v>0</v>
      </c>
      <c r="C53" s="18">
        <f>B53/(1.031)^(A53-Overview!$B$22)</f>
        <v>0</v>
      </c>
    </row>
    <row r="54" spans="1:4" x14ac:dyDescent="0.25">
      <c r="A54" s="122">
        <f t="shared" si="2"/>
        <v>2039</v>
      </c>
      <c r="B54" s="7">
        <f>'Capital Costs'!C22</f>
        <v>0</v>
      </c>
      <c r="C54" s="18">
        <f>B54/(1.031)^(A54-Overview!$B$22)</f>
        <v>0</v>
      </c>
    </row>
    <row r="55" spans="1:4" x14ac:dyDescent="0.25">
      <c r="A55" s="122">
        <f t="shared" si="2"/>
        <v>2040</v>
      </c>
      <c r="B55" s="7">
        <f>'Capital Costs'!C23</f>
        <v>0</v>
      </c>
      <c r="C55" s="18">
        <f>B55/(1.031)^(A55-Overview!$B$22)</f>
        <v>0</v>
      </c>
    </row>
    <row r="56" spans="1:4" x14ac:dyDescent="0.25">
      <c r="A56" s="25" t="s">
        <v>21</v>
      </c>
      <c r="B56" s="170">
        <f>SUM(B41:B55)</f>
        <v>33293230</v>
      </c>
      <c r="C56" s="172">
        <f>SUM(C41:C55)+'Capital Costs'!A5</f>
        <v>29094227.553151697</v>
      </c>
      <c r="D56" s="36"/>
    </row>
    <row r="57" spans="1:4" x14ac:dyDescent="0.25">
      <c r="C57" s="36"/>
      <c r="D57" s="36"/>
    </row>
    <row r="58" spans="1:4" x14ac:dyDescent="0.25">
      <c r="C58" s="36"/>
      <c r="D58" s="36"/>
    </row>
    <row r="59" spans="1:4" x14ac:dyDescent="0.25">
      <c r="C59" s="36"/>
      <c r="D59" s="36"/>
    </row>
    <row r="60" spans="1:4" x14ac:dyDescent="0.25">
      <c r="C60" s="36"/>
      <c r="D60" s="36"/>
    </row>
    <row r="61" spans="1:4" x14ac:dyDescent="0.25">
      <c r="C61" s="36"/>
      <c r="D61" s="36"/>
    </row>
    <row r="62" spans="1:4" x14ac:dyDescent="0.25">
      <c r="C62" s="36"/>
      <c r="D62" s="36"/>
    </row>
    <row r="63" spans="1:4" x14ac:dyDescent="0.25">
      <c r="D63" s="36"/>
    </row>
    <row r="65" spans="3:3" x14ac:dyDescent="0.25">
      <c r="C65" s="2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F9DC5-C9C2-4023-B877-38772BB6BEA7}">
  <sheetPr>
    <tabColor theme="9" tint="0.39997558519241921"/>
  </sheetPr>
  <dimension ref="A1:E11"/>
  <sheetViews>
    <sheetView tabSelected="1" workbookViewId="0">
      <selection activeCell="C27" sqref="C27"/>
    </sheetView>
  </sheetViews>
  <sheetFormatPr defaultColWidth="8.7109375" defaultRowHeight="15" x14ac:dyDescent="0.25"/>
  <cols>
    <col min="1" max="1" width="56.28515625" style="5" customWidth="1"/>
    <col min="2" max="16384" width="8.7109375" style="5"/>
  </cols>
  <sheetData>
    <row r="1" spans="1:5" ht="20.25" thickBot="1" x14ac:dyDescent="0.35">
      <c r="A1" s="96" t="s">
        <v>211</v>
      </c>
    </row>
    <row r="2" spans="1:5" ht="15.75" thickTop="1" x14ac:dyDescent="0.25">
      <c r="A2" s="152" t="s">
        <v>180</v>
      </c>
      <c r="B2" s="152"/>
      <c r="C2" s="152"/>
      <c r="D2" s="152"/>
      <c r="E2" s="152"/>
    </row>
    <row r="3" spans="1:5" x14ac:dyDescent="0.25">
      <c r="A3" s="5" t="s">
        <v>205</v>
      </c>
    </row>
    <row r="4" spans="1:5" x14ac:dyDescent="0.25">
      <c r="A4" s="97" t="s">
        <v>212</v>
      </c>
    </row>
    <row r="5" spans="1:5" x14ac:dyDescent="0.25">
      <c r="A5" s="100" t="s">
        <v>213</v>
      </c>
      <c r="B5" s="101" t="s">
        <v>214</v>
      </c>
    </row>
    <row r="6" spans="1:5" x14ac:dyDescent="0.25">
      <c r="A6" s="43" t="s">
        <v>160</v>
      </c>
      <c r="B6" s="98">
        <v>2023</v>
      </c>
    </row>
    <row r="7" spans="1:5" x14ac:dyDescent="0.25">
      <c r="A7" s="43" t="s">
        <v>296</v>
      </c>
      <c r="B7" s="23">
        <v>2026</v>
      </c>
      <c r="C7" s="5" t="s">
        <v>313</v>
      </c>
    </row>
    <row r="8" spans="1:5" x14ac:dyDescent="0.25">
      <c r="A8" s="43" t="s">
        <v>165</v>
      </c>
      <c r="B8" s="23">
        <v>3</v>
      </c>
      <c r="C8" s="5" t="s">
        <v>167</v>
      </c>
    </row>
    <row r="9" spans="1:5" x14ac:dyDescent="0.25">
      <c r="A9" s="43" t="s">
        <v>164</v>
      </c>
      <c r="B9" s="98">
        <v>2029</v>
      </c>
    </row>
    <row r="10" spans="1:5" x14ac:dyDescent="0.25">
      <c r="A10" s="43" t="s">
        <v>166</v>
      </c>
      <c r="B10" s="23">
        <v>20</v>
      </c>
      <c r="C10" s="5" t="s">
        <v>329</v>
      </c>
    </row>
    <row r="11" spans="1:5" x14ac:dyDescent="0.25">
      <c r="A11" s="43" t="s">
        <v>170</v>
      </c>
      <c r="B11" s="99">
        <f>B7+B8+B10-1</f>
        <v>2048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06FF2-EC53-4111-9343-1323F6427D32}">
  <sheetPr>
    <tabColor theme="0" tint="-0.249977111117893"/>
  </sheetPr>
  <dimension ref="A1:C8"/>
  <sheetViews>
    <sheetView workbookViewId="0">
      <selection activeCell="K3" sqref="K3"/>
    </sheetView>
  </sheetViews>
  <sheetFormatPr defaultColWidth="8.7109375" defaultRowHeight="15" x14ac:dyDescent="0.25"/>
  <cols>
    <col min="1" max="1" width="41.28515625" style="5" customWidth="1"/>
    <col min="2" max="2" width="31.42578125" style="5" customWidth="1"/>
    <col min="3" max="16384" width="8.7109375" style="5"/>
  </cols>
  <sheetData>
    <row r="1" spans="1:3" ht="20.25" thickBot="1" x14ac:dyDescent="0.35">
      <c r="A1" s="96" t="s">
        <v>220</v>
      </c>
    </row>
    <row r="2" spans="1:3" ht="19.5" thickTop="1" x14ac:dyDescent="0.25">
      <c r="A2" s="104" t="s">
        <v>205</v>
      </c>
    </row>
    <row r="3" spans="1:3" x14ac:dyDescent="0.25">
      <c r="A3" s="97" t="s">
        <v>217</v>
      </c>
    </row>
    <row r="4" spans="1:3" x14ac:dyDescent="0.25">
      <c r="A4" s="106" t="s">
        <v>33</v>
      </c>
      <c r="B4" s="106" t="s">
        <v>214</v>
      </c>
    </row>
    <row r="5" spans="1:3" x14ac:dyDescent="0.25">
      <c r="A5" s="98" t="s">
        <v>0</v>
      </c>
      <c r="B5" s="105">
        <f>Summary!Q37</f>
        <v>110937612.50830473</v>
      </c>
    </row>
    <row r="6" spans="1:3" x14ac:dyDescent="0.25">
      <c r="A6" s="98" t="s">
        <v>1</v>
      </c>
      <c r="B6" s="105">
        <f>Summary!C56</f>
        <v>29094227.553151697</v>
      </c>
    </row>
    <row r="7" spans="1:3" x14ac:dyDescent="0.25">
      <c r="A7" s="98" t="s">
        <v>2</v>
      </c>
      <c r="B7" s="105">
        <f>B5-B6</f>
        <v>81843384.955153033</v>
      </c>
    </row>
    <row r="8" spans="1:3" x14ac:dyDescent="0.25">
      <c r="A8" s="98" t="s">
        <v>3</v>
      </c>
      <c r="B8" s="145">
        <f>IFERROR(B5/B6, "Enter Costs in 'Capital Cost' sheet")</f>
        <v>3.81304546771812</v>
      </c>
      <c r="C8" s="5" t="s">
        <v>265</v>
      </c>
    </row>
  </sheetData>
  <conditionalFormatting sqref="A4:B4">
    <cfRule type="expression" dxfId="0" priority="1">
      <formula>ISNUMBER(SEARCH("_sns",A$4))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762AA-A4A0-4AEE-A83B-E1DACDC73A36}">
  <sheetPr>
    <tabColor theme="0" tint="-0.249977111117893"/>
  </sheetPr>
  <dimension ref="A1:T242"/>
  <sheetViews>
    <sheetView zoomScaleNormal="100" workbookViewId="0">
      <selection activeCell="J18" sqref="J18"/>
    </sheetView>
  </sheetViews>
  <sheetFormatPr defaultRowHeight="15" x14ac:dyDescent="0.25"/>
  <cols>
    <col min="1" max="1" width="48.85546875" customWidth="1"/>
    <col min="2" max="2" width="27.28515625" customWidth="1"/>
    <col min="3" max="3" width="22.5703125" customWidth="1"/>
    <col min="4" max="4" width="19" customWidth="1"/>
    <col min="5" max="5" width="13.5703125" customWidth="1"/>
    <col min="6" max="6" width="12" customWidth="1"/>
    <col min="9" max="9" width="18.140625" bestFit="1" customWidth="1"/>
    <col min="10" max="10" width="14.85546875" bestFit="1" customWidth="1"/>
    <col min="20" max="20" width="10.140625" bestFit="1" customWidth="1"/>
  </cols>
  <sheetData>
    <row r="1" spans="1:10" ht="21" x14ac:dyDescent="0.35">
      <c r="A1" s="56" t="s">
        <v>204</v>
      </c>
      <c r="B1" s="57"/>
      <c r="C1" s="57"/>
      <c r="D1" s="57"/>
      <c r="E1" s="71"/>
      <c r="F1" s="71"/>
    </row>
    <row r="2" spans="1:10" x14ac:dyDescent="0.25">
      <c r="A2" s="152" t="s">
        <v>305</v>
      </c>
      <c r="B2" s="152"/>
      <c r="C2" s="152"/>
      <c r="D2" s="152"/>
      <c r="E2" s="152"/>
      <c r="F2" s="60"/>
    </row>
    <row r="3" spans="1:10" x14ac:dyDescent="0.25">
      <c r="A3" s="61" t="s">
        <v>304</v>
      </c>
      <c r="F3" s="60"/>
    </row>
    <row r="4" spans="1:10" x14ac:dyDescent="0.25">
      <c r="A4" s="62" t="s">
        <v>205</v>
      </c>
      <c r="F4" s="60"/>
    </row>
    <row r="5" spans="1:10" x14ac:dyDescent="0.25">
      <c r="A5" s="63" t="s">
        <v>266</v>
      </c>
      <c r="B5" s="64"/>
      <c r="C5" s="64"/>
      <c r="D5" s="64"/>
      <c r="E5" s="64"/>
      <c r="F5" s="60"/>
    </row>
    <row r="6" spans="1:10" ht="17.25" customHeight="1" thickBot="1" x14ac:dyDescent="0.3">
      <c r="A6" s="66" t="s">
        <v>22</v>
      </c>
      <c r="B6" s="66" t="s">
        <v>338</v>
      </c>
      <c r="C6" s="64"/>
      <c r="D6" s="64"/>
      <c r="E6" s="64"/>
      <c r="F6" s="60"/>
    </row>
    <row r="7" spans="1:10" ht="15.75" x14ac:dyDescent="0.25">
      <c r="A7" s="67" t="s">
        <v>23</v>
      </c>
      <c r="B7" s="68">
        <v>5300</v>
      </c>
      <c r="C7" s="64"/>
      <c r="D7" s="64"/>
      <c r="E7" s="64"/>
      <c r="F7" s="60"/>
      <c r="H7" s="311" t="s">
        <v>527</v>
      </c>
      <c r="I7" s="312"/>
      <c r="J7" s="313"/>
    </row>
    <row r="8" spans="1:10" ht="16.5" thickBot="1" x14ac:dyDescent="0.3">
      <c r="A8" s="67" t="s">
        <v>24</v>
      </c>
      <c r="B8" s="68">
        <v>118000</v>
      </c>
      <c r="C8" s="64"/>
      <c r="D8" s="64"/>
      <c r="E8" s="64"/>
      <c r="F8" s="60"/>
      <c r="H8" s="258" t="s">
        <v>528</v>
      </c>
      <c r="I8" s="259" t="s">
        <v>529</v>
      </c>
      <c r="J8" s="260" t="s">
        <v>530</v>
      </c>
    </row>
    <row r="9" spans="1:10" ht="15.75" x14ac:dyDescent="0.25">
      <c r="A9" s="67" t="s">
        <v>25</v>
      </c>
      <c r="B9" s="68">
        <v>246900</v>
      </c>
      <c r="C9" s="64"/>
      <c r="D9" s="64"/>
      <c r="E9" s="64"/>
      <c r="F9" s="60"/>
      <c r="H9" s="261" t="s">
        <v>531</v>
      </c>
      <c r="I9" s="262">
        <v>1.64</v>
      </c>
      <c r="J9" s="263">
        <v>1.64</v>
      </c>
    </row>
    <row r="10" spans="1:10" ht="15.75" x14ac:dyDescent="0.25">
      <c r="A10" s="67" t="s">
        <v>26</v>
      </c>
      <c r="B10" s="68">
        <v>1254700</v>
      </c>
      <c r="C10" s="64"/>
      <c r="D10" s="64"/>
      <c r="E10" s="64"/>
      <c r="F10" s="60"/>
      <c r="H10" s="264" t="s">
        <v>532</v>
      </c>
      <c r="I10" s="265">
        <f>I9*2</f>
        <v>3.28</v>
      </c>
      <c r="J10" s="266">
        <f>J9*4</f>
        <v>6.56</v>
      </c>
    </row>
    <row r="11" spans="1:10" ht="15.75" x14ac:dyDescent="0.25">
      <c r="A11" s="67" t="s">
        <v>27</v>
      </c>
      <c r="B11" s="68">
        <v>13200000</v>
      </c>
      <c r="C11" s="64"/>
      <c r="D11" s="64"/>
      <c r="E11" s="64"/>
      <c r="F11" s="60"/>
      <c r="H11" s="267" t="s">
        <v>533</v>
      </c>
      <c r="I11" s="259" t="s">
        <v>529</v>
      </c>
      <c r="J11" s="260" t="s">
        <v>530</v>
      </c>
    </row>
    <row r="12" spans="1:10" ht="15.75" x14ac:dyDescent="0.25">
      <c r="A12" s="67" t="s">
        <v>28</v>
      </c>
      <c r="B12" s="68">
        <v>229800</v>
      </c>
      <c r="C12" s="64"/>
      <c r="D12" s="64"/>
      <c r="E12" s="64"/>
      <c r="F12" s="60"/>
      <c r="H12" s="222" t="s">
        <v>531</v>
      </c>
      <c r="I12" s="268">
        <v>0.87</v>
      </c>
      <c r="J12" s="269">
        <v>0.87</v>
      </c>
    </row>
    <row r="13" spans="1:10" ht="16.5" thickBot="1" x14ac:dyDescent="0.3">
      <c r="A13" s="63" t="s">
        <v>334</v>
      </c>
      <c r="B13" s="64"/>
      <c r="C13" s="64"/>
      <c r="D13" s="64"/>
      <c r="E13" s="64"/>
      <c r="F13" s="60"/>
      <c r="H13" s="227" t="s">
        <v>532</v>
      </c>
      <c r="I13" s="270">
        <f>I12*2</f>
        <v>1.74</v>
      </c>
      <c r="J13" s="271">
        <f>J12*4</f>
        <v>3.48</v>
      </c>
    </row>
    <row r="14" spans="1:10" ht="16.5" thickBot="1" x14ac:dyDescent="0.3">
      <c r="A14" s="66" t="s">
        <v>29</v>
      </c>
      <c r="B14" s="66" t="s">
        <v>338</v>
      </c>
      <c r="C14" s="64"/>
      <c r="D14" s="64"/>
      <c r="E14" s="64"/>
      <c r="F14" s="60"/>
      <c r="H14" s="314" t="s">
        <v>534</v>
      </c>
      <c r="I14" s="315"/>
      <c r="J14" s="272"/>
    </row>
    <row r="15" spans="1:10" ht="15.75" x14ac:dyDescent="0.25">
      <c r="A15" s="67" t="s">
        <v>267</v>
      </c>
      <c r="B15" s="68">
        <v>9500</v>
      </c>
      <c r="C15" s="64"/>
      <c r="D15" s="64"/>
      <c r="E15" s="64"/>
      <c r="F15" s="60"/>
      <c r="H15" s="273" t="s">
        <v>535</v>
      </c>
      <c r="I15" s="274" t="s">
        <v>536</v>
      </c>
      <c r="J15" s="223"/>
    </row>
    <row r="16" spans="1:10" ht="15.75" x14ac:dyDescent="0.25">
      <c r="A16" s="67" t="s">
        <v>30</v>
      </c>
      <c r="B16" s="68">
        <v>329500</v>
      </c>
      <c r="C16" s="64"/>
      <c r="D16" s="64"/>
      <c r="E16" s="64"/>
      <c r="F16" s="60"/>
      <c r="H16" s="222" t="s">
        <v>537</v>
      </c>
      <c r="I16" s="225">
        <v>1264.42</v>
      </c>
      <c r="J16" s="223"/>
    </row>
    <row r="17" spans="1:10" ht="15.75" x14ac:dyDescent="0.25">
      <c r="A17" s="67" t="s">
        <v>31</v>
      </c>
      <c r="B17" s="68">
        <v>14806000</v>
      </c>
      <c r="C17" s="64"/>
      <c r="D17" s="64"/>
      <c r="E17" s="64"/>
      <c r="F17" s="60"/>
      <c r="H17" s="222" t="s">
        <v>538</v>
      </c>
      <c r="I17" s="225">
        <v>465.43</v>
      </c>
      <c r="J17" s="223"/>
    </row>
    <row r="18" spans="1:10" ht="15.75" x14ac:dyDescent="0.25">
      <c r="A18" s="65" t="s">
        <v>205</v>
      </c>
      <c r="B18" s="64"/>
      <c r="C18" s="64"/>
      <c r="D18" s="64"/>
      <c r="E18" s="64"/>
      <c r="F18" s="60"/>
      <c r="H18" s="222" t="s">
        <v>539</v>
      </c>
      <c r="I18" s="225">
        <v>111.02</v>
      </c>
      <c r="J18" s="223"/>
    </row>
    <row r="19" spans="1:10" ht="15.75" x14ac:dyDescent="0.25">
      <c r="A19" s="63" t="s">
        <v>268</v>
      </c>
      <c r="B19" s="64"/>
      <c r="C19" s="64"/>
      <c r="D19" s="64"/>
      <c r="E19" s="64"/>
      <c r="F19" s="60"/>
      <c r="H19" s="222" t="s">
        <v>540</v>
      </c>
      <c r="I19" s="225">
        <v>645.23</v>
      </c>
      <c r="J19" s="223"/>
    </row>
    <row r="20" spans="1:10" ht="15" customHeight="1" x14ac:dyDescent="0.25">
      <c r="A20" s="319" t="s">
        <v>32</v>
      </c>
      <c r="B20" s="319"/>
      <c r="C20" s="64"/>
      <c r="D20" s="64"/>
      <c r="E20" s="64"/>
      <c r="F20" s="60"/>
      <c r="H20" s="222" t="s">
        <v>541</v>
      </c>
      <c r="I20" s="275">
        <v>6000</v>
      </c>
      <c r="J20" s="223"/>
    </row>
    <row r="21" spans="1:10" ht="16.5" thickBot="1" x14ac:dyDescent="0.3">
      <c r="A21" s="319" t="s">
        <v>339</v>
      </c>
      <c r="B21" s="319"/>
      <c r="C21" s="64"/>
      <c r="D21" s="64"/>
      <c r="E21" s="64"/>
      <c r="F21" s="60"/>
      <c r="H21" s="227" t="s">
        <v>542</v>
      </c>
      <c r="I21" s="276">
        <v>6700</v>
      </c>
      <c r="J21" s="223"/>
    </row>
    <row r="22" spans="1:10" x14ac:dyDescent="0.25">
      <c r="A22" s="66" t="s">
        <v>33</v>
      </c>
      <c r="B22" s="66" t="s">
        <v>34</v>
      </c>
      <c r="C22" s="64"/>
      <c r="D22" s="64"/>
      <c r="E22" s="64"/>
      <c r="F22" s="60"/>
    </row>
    <row r="23" spans="1:10" x14ac:dyDescent="0.25">
      <c r="A23" s="67" t="s">
        <v>35</v>
      </c>
      <c r="B23" s="69"/>
      <c r="C23" s="64"/>
      <c r="D23" s="64"/>
      <c r="E23" s="64"/>
      <c r="F23" s="60"/>
    </row>
    <row r="24" spans="1:10" ht="18" x14ac:dyDescent="0.25">
      <c r="A24" s="67" t="s">
        <v>40</v>
      </c>
      <c r="B24" s="70">
        <v>19.399999999999999</v>
      </c>
      <c r="C24" s="64"/>
      <c r="D24" s="64"/>
      <c r="E24" s="64"/>
      <c r="F24" s="60"/>
    </row>
    <row r="25" spans="1:10" ht="18" x14ac:dyDescent="0.25">
      <c r="A25" s="67" t="s">
        <v>41</v>
      </c>
      <c r="B25" s="70">
        <v>33.5</v>
      </c>
      <c r="C25" s="64"/>
      <c r="D25" s="64"/>
      <c r="E25" s="64"/>
      <c r="F25" s="60"/>
    </row>
    <row r="26" spans="1:10" ht="18" x14ac:dyDescent="0.25">
      <c r="A26" s="67" t="s">
        <v>42</v>
      </c>
      <c r="B26" s="70">
        <v>21.1</v>
      </c>
      <c r="C26" s="64"/>
      <c r="D26" s="64"/>
      <c r="E26" s="64"/>
      <c r="F26" s="60"/>
    </row>
    <row r="27" spans="1:10" x14ac:dyDescent="0.25">
      <c r="A27" s="67"/>
      <c r="B27" s="70"/>
      <c r="C27" s="64"/>
      <c r="D27" s="64"/>
      <c r="E27" s="64"/>
      <c r="F27" s="60"/>
    </row>
    <row r="28" spans="1:10" ht="33" x14ac:dyDescent="0.25">
      <c r="A28" s="67" t="s">
        <v>43</v>
      </c>
      <c r="B28" s="70">
        <v>38.799999999999997</v>
      </c>
      <c r="C28" s="64"/>
      <c r="D28" s="64"/>
      <c r="E28" s="64"/>
      <c r="F28" s="60"/>
    </row>
    <row r="29" spans="1:10" x14ac:dyDescent="0.25">
      <c r="A29" s="69"/>
      <c r="B29" s="70"/>
      <c r="C29" s="64"/>
      <c r="D29" s="64"/>
      <c r="E29" s="64"/>
      <c r="F29" s="60"/>
    </row>
    <row r="30" spans="1:10" ht="18" x14ac:dyDescent="0.25">
      <c r="A30" s="67" t="s">
        <v>44</v>
      </c>
      <c r="B30" s="70"/>
      <c r="C30" s="64"/>
      <c r="D30" s="64"/>
      <c r="E30" s="64"/>
      <c r="F30" s="60"/>
    </row>
    <row r="31" spans="1:10" x14ac:dyDescent="0.25">
      <c r="A31" s="67" t="s">
        <v>36</v>
      </c>
      <c r="B31" s="70">
        <v>35.700000000000003</v>
      </c>
      <c r="C31" s="64"/>
      <c r="D31" s="64"/>
      <c r="E31" s="64"/>
      <c r="F31" s="60"/>
    </row>
    <row r="32" spans="1:10" x14ac:dyDescent="0.25">
      <c r="A32" s="67" t="s">
        <v>37</v>
      </c>
      <c r="B32" s="70">
        <v>42.6</v>
      </c>
      <c r="C32" s="64"/>
      <c r="D32" s="64"/>
      <c r="E32" s="64"/>
      <c r="F32" s="60"/>
    </row>
    <row r="33" spans="1:6" x14ac:dyDescent="0.25">
      <c r="A33" s="67" t="s">
        <v>38</v>
      </c>
      <c r="B33" s="70">
        <v>59.6</v>
      </c>
      <c r="C33" s="64"/>
      <c r="D33" s="64"/>
      <c r="E33" s="64"/>
      <c r="F33" s="60"/>
    </row>
    <row r="34" spans="1:6" x14ac:dyDescent="0.25">
      <c r="A34" s="67" t="s">
        <v>39</v>
      </c>
      <c r="B34" s="70">
        <v>52.9</v>
      </c>
      <c r="C34" s="64"/>
      <c r="D34" s="64"/>
      <c r="E34" s="64"/>
      <c r="F34" s="60"/>
    </row>
    <row r="35" spans="1:6" x14ac:dyDescent="0.25">
      <c r="A35" s="73"/>
      <c r="B35" s="74"/>
      <c r="C35" s="64"/>
      <c r="D35" s="64"/>
      <c r="E35" s="64"/>
      <c r="F35" s="60"/>
    </row>
    <row r="36" spans="1:6" ht="83.25" customHeight="1" x14ac:dyDescent="0.25">
      <c r="A36" s="292" t="s">
        <v>336</v>
      </c>
      <c r="B36" s="293"/>
      <c r="C36" s="64"/>
      <c r="D36" s="64"/>
      <c r="E36" s="64"/>
      <c r="F36" s="60"/>
    </row>
    <row r="37" spans="1:6" ht="54" customHeight="1" x14ac:dyDescent="0.25">
      <c r="A37" s="292" t="s">
        <v>45</v>
      </c>
      <c r="B37" s="293"/>
      <c r="C37" s="64"/>
      <c r="D37" s="64"/>
      <c r="E37" s="64"/>
      <c r="F37" s="60"/>
    </row>
    <row r="38" spans="1:6" ht="58.5" customHeight="1" x14ac:dyDescent="0.25">
      <c r="A38" s="292" t="s">
        <v>337</v>
      </c>
      <c r="B38" s="293"/>
      <c r="C38" s="64"/>
      <c r="D38" s="64"/>
      <c r="E38" s="64"/>
      <c r="F38" s="60"/>
    </row>
    <row r="39" spans="1:6" ht="25.5" customHeight="1" x14ac:dyDescent="0.25">
      <c r="A39" s="286" t="s">
        <v>46</v>
      </c>
      <c r="B39" s="287"/>
      <c r="C39" s="64"/>
      <c r="D39" s="64"/>
      <c r="E39" s="64"/>
      <c r="F39" s="60"/>
    </row>
    <row r="40" spans="1:6" ht="23.25" customHeight="1" x14ac:dyDescent="0.25">
      <c r="A40" s="288" t="s">
        <v>47</v>
      </c>
      <c r="B40" s="289"/>
      <c r="C40" s="64"/>
      <c r="D40" s="64"/>
      <c r="E40" s="64"/>
      <c r="F40" s="60"/>
    </row>
    <row r="41" spans="1:6" x14ac:dyDescent="0.25">
      <c r="A41" s="5" t="s">
        <v>205</v>
      </c>
      <c r="B41" s="64"/>
      <c r="C41" s="64"/>
      <c r="D41" s="64"/>
      <c r="E41" s="64"/>
      <c r="F41" s="60"/>
    </row>
    <row r="42" spans="1:6" x14ac:dyDescent="0.25">
      <c r="A42" s="63" t="s">
        <v>269</v>
      </c>
      <c r="B42" s="64"/>
      <c r="C42" s="64"/>
      <c r="D42" s="64"/>
      <c r="E42" s="64"/>
      <c r="F42" s="60"/>
    </row>
    <row r="43" spans="1:6" x14ac:dyDescent="0.25">
      <c r="A43" s="75" t="s">
        <v>48</v>
      </c>
      <c r="B43" s="76" t="s">
        <v>49</v>
      </c>
      <c r="C43" s="64"/>
      <c r="D43" s="64"/>
      <c r="E43" s="64"/>
      <c r="F43" s="60"/>
    </row>
    <row r="44" spans="1:6" ht="18" x14ac:dyDescent="0.25">
      <c r="A44" s="67" t="s">
        <v>53</v>
      </c>
      <c r="B44" s="77">
        <v>1.34</v>
      </c>
      <c r="C44" s="64"/>
      <c r="D44" s="64"/>
      <c r="E44" s="64"/>
      <c r="F44" s="60"/>
    </row>
    <row r="45" spans="1:6" x14ac:dyDescent="0.25">
      <c r="A45" s="67" t="s">
        <v>50</v>
      </c>
      <c r="B45" s="77">
        <v>1.41</v>
      </c>
      <c r="C45" s="64"/>
      <c r="D45" s="64"/>
      <c r="E45" s="64"/>
      <c r="F45" s="60"/>
    </row>
    <row r="46" spans="1:6" x14ac:dyDescent="0.25">
      <c r="A46" s="67" t="s">
        <v>51</v>
      </c>
      <c r="B46" s="77">
        <v>1.81</v>
      </c>
      <c r="C46" s="64"/>
      <c r="D46" s="64"/>
      <c r="E46" s="64"/>
      <c r="F46" s="60"/>
    </row>
    <row r="47" spans="1:6" x14ac:dyDescent="0.25">
      <c r="A47" s="67" t="s">
        <v>52</v>
      </c>
      <c r="B47" s="77">
        <v>1.52</v>
      </c>
      <c r="C47" s="64"/>
      <c r="D47" s="64"/>
      <c r="E47" s="64"/>
      <c r="F47" s="60"/>
    </row>
    <row r="48" spans="1:6" x14ac:dyDescent="0.25">
      <c r="A48" s="65"/>
      <c r="B48" s="72"/>
      <c r="C48" s="64"/>
      <c r="D48" s="64"/>
      <c r="E48" s="64"/>
      <c r="F48" s="60"/>
    </row>
    <row r="49" spans="1:6" ht="45" customHeight="1" x14ac:dyDescent="0.25">
      <c r="A49" s="290" t="s">
        <v>54</v>
      </c>
      <c r="B49" s="291"/>
      <c r="C49" s="64"/>
      <c r="D49" s="64"/>
      <c r="E49" s="64"/>
      <c r="F49" s="60"/>
    </row>
    <row r="50" spans="1:6" x14ac:dyDescent="0.25">
      <c r="A50" s="5" t="s">
        <v>205</v>
      </c>
      <c r="B50" s="64"/>
      <c r="C50" s="64"/>
      <c r="D50" s="64"/>
      <c r="E50" s="64"/>
      <c r="F50" s="60"/>
    </row>
    <row r="51" spans="1:6" x14ac:dyDescent="0.25">
      <c r="A51" s="63" t="s">
        <v>270</v>
      </c>
      <c r="B51" s="64"/>
      <c r="C51" s="64"/>
      <c r="D51" s="64"/>
      <c r="E51" s="64"/>
      <c r="F51" s="60"/>
    </row>
    <row r="52" spans="1:6" ht="30" customHeight="1" x14ac:dyDescent="0.25">
      <c r="A52" s="75" t="s">
        <v>48</v>
      </c>
      <c r="B52" s="76" t="s">
        <v>340</v>
      </c>
      <c r="C52" s="64"/>
      <c r="D52" s="64"/>
      <c r="E52" s="64"/>
      <c r="F52" s="60"/>
    </row>
    <row r="53" spans="1:6" ht="18" x14ac:dyDescent="0.25">
      <c r="A53" s="67" t="s">
        <v>77</v>
      </c>
      <c r="B53" s="78">
        <v>0.56000000000000005</v>
      </c>
      <c r="C53" s="64"/>
      <c r="D53" s="64"/>
      <c r="E53" s="64"/>
      <c r="F53" s="60"/>
    </row>
    <row r="54" spans="1:6" ht="18" x14ac:dyDescent="0.25">
      <c r="A54" s="67" t="s">
        <v>78</v>
      </c>
      <c r="B54" s="78">
        <v>1.27</v>
      </c>
      <c r="C54" s="64"/>
      <c r="D54" s="64"/>
      <c r="E54" s="64"/>
      <c r="F54" s="60"/>
    </row>
    <row r="55" spans="1:6" x14ac:dyDescent="0.25">
      <c r="A55" s="65"/>
      <c r="B55" s="72"/>
      <c r="C55" s="64"/>
      <c r="D55" s="64"/>
      <c r="E55" s="64"/>
      <c r="F55" s="60"/>
    </row>
    <row r="56" spans="1:6" ht="68.25" customHeight="1" x14ac:dyDescent="0.25">
      <c r="A56" s="292" t="s">
        <v>55</v>
      </c>
      <c r="B56" s="293"/>
      <c r="C56" s="64"/>
      <c r="D56" s="64"/>
      <c r="E56" s="64"/>
      <c r="F56" s="60"/>
    </row>
    <row r="57" spans="1:6" ht="72" customHeight="1" x14ac:dyDescent="0.25">
      <c r="A57" s="290" t="s">
        <v>56</v>
      </c>
      <c r="B57" s="291"/>
      <c r="C57" s="64"/>
      <c r="D57" s="64"/>
      <c r="E57" s="64"/>
      <c r="F57" s="60"/>
    </row>
    <row r="58" spans="1:6" x14ac:dyDescent="0.25">
      <c r="A58" s="5" t="s">
        <v>205</v>
      </c>
      <c r="B58" s="64"/>
      <c r="C58" s="64"/>
      <c r="D58" s="64"/>
      <c r="E58" s="64"/>
      <c r="F58" s="60"/>
    </row>
    <row r="59" spans="1:6" x14ac:dyDescent="0.25">
      <c r="A59" s="63" t="s">
        <v>271</v>
      </c>
      <c r="B59" s="64"/>
      <c r="C59" s="64"/>
      <c r="D59" s="64"/>
      <c r="E59" s="64"/>
      <c r="F59" s="60"/>
    </row>
    <row r="60" spans="1:6" x14ac:dyDescent="0.25">
      <c r="A60" s="79"/>
      <c r="B60" s="296" t="s">
        <v>341</v>
      </c>
      <c r="C60" s="297"/>
      <c r="D60" s="298"/>
      <c r="E60" s="64"/>
      <c r="F60" s="60"/>
    </row>
    <row r="61" spans="1:6" ht="18" x14ac:dyDescent="0.25">
      <c r="A61" s="79" t="s">
        <v>273</v>
      </c>
      <c r="B61" s="79" t="s">
        <v>284</v>
      </c>
      <c r="C61" s="79" t="s">
        <v>285</v>
      </c>
      <c r="D61" s="79" t="s">
        <v>286</v>
      </c>
      <c r="E61" s="64"/>
      <c r="F61" s="60"/>
    </row>
    <row r="62" spans="1:6" x14ac:dyDescent="0.25">
      <c r="A62" s="125" t="s">
        <v>274</v>
      </c>
      <c r="B62" s="125"/>
      <c r="C62" s="125"/>
      <c r="D62" s="126"/>
      <c r="E62" s="64"/>
      <c r="F62" s="60"/>
    </row>
    <row r="63" spans="1:6" x14ac:dyDescent="0.25">
      <c r="A63" s="67" t="s">
        <v>275</v>
      </c>
      <c r="B63" s="123">
        <v>262</v>
      </c>
      <c r="C63" s="123">
        <v>776</v>
      </c>
      <c r="D63" s="123">
        <v>29</v>
      </c>
      <c r="E63" s="64"/>
      <c r="F63" s="60"/>
    </row>
    <row r="64" spans="1:6" x14ac:dyDescent="0.25">
      <c r="A64" s="67" t="s">
        <v>276</v>
      </c>
      <c r="B64" s="123">
        <v>282</v>
      </c>
      <c r="C64" s="123">
        <v>106</v>
      </c>
      <c r="D64" s="123">
        <v>27</v>
      </c>
      <c r="E64" s="64"/>
      <c r="F64" s="60"/>
    </row>
    <row r="65" spans="1:6" x14ac:dyDescent="0.25">
      <c r="A65" s="67" t="s">
        <v>277</v>
      </c>
      <c r="B65" s="123">
        <v>718</v>
      </c>
      <c r="C65" s="123">
        <v>106</v>
      </c>
      <c r="D65" s="123">
        <v>27</v>
      </c>
      <c r="E65" s="64"/>
      <c r="F65" s="60"/>
    </row>
    <row r="66" spans="1:6" x14ac:dyDescent="0.25">
      <c r="A66" s="67" t="s">
        <v>278</v>
      </c>
      <c r="B66" s="123">
        <v>323</v>
      </c>
      <c r="C66" s="123">
        <v>106</v>
      </c>
      <c r="D66" s="123">
        <v>27</v>
      </c>
      <c r="E66" s="64"/>
      <c r="F66" s="60"/>
    </row>
    <row r="67" spans="1:6" x14ac:dyDescent="0.25">
      <c r="A67" s="125" t="s">
        <v>279</v>
      </c>
      <c r="B67" s="125"/>
      <c r="C67" s="125"/>
      <c r="D67" s="127"/>
      <c r="E67" s="64"/>
      <c r="F67" s="60"/>
    </row>
    <row r="68" spans="1:6" x14ac:dyDescent="0.25">
      <c r="A68" s="67" t="s">
        <v>275</v>
      </c>
      <c r="B68" s="123">
        <v>706</v>
      </c>
      <c r="C68" s="123">
        <v>2284</v>
      </c>
      <c r="D68" s="123">
        <v>290</v>
      </c>
      <c r="E68" s="64"/>
      <c r="F68" s="60"/>
    </row>
    <row r="69" spans="1:6" x14ac:dyDescent="0.25">
      <c r="A69" s="67" t="s">
        <v>276</v>
      </c>
      <c r="B69" s="123">
        <v>687</v>
      </c>
      <c r="C69" s="123">
        <v>755</v>
      </c>
      <c r="D69" s="123">
        <v>226</v>
      </c>
      <c r="E69" s="64"/>
      <c r="F69" s="60"/>
    </row>
    <row r="70" spans="1:6" x14ac:dyDescent="0.25">
      <c r="A70" s="67" t="s">
        <v>277</v>
      </c>
      <c r="B70" s="123">
        <v>1123</v>
      </c>
      <c r="C70" s="123">
        <v>755</v>
      </c>
      <c r="D70" s="123">
        <v>226</v>
      </c>
      <c r="E70" s="64"/>
      <c r="F70" s="60"/>
    </row>
    <row r="71" spans="1:6" x14ac:dyDescent="0.25">
      <c r="A71" s="67" t="s">
        <v>278</v>
      </c>
      <c r="B71" s="123">
        <v>728</v>
      </c>
      <c r="C71" s="123">
        <v>755</v>
      </c>
      <c r="D71" s="123">
        <v>226</v>
      </c>
      <c r="E71" s="64"/>
      <c r="F71" s="60"/>
    </row>
    <row r="72" spans="1:6" x14ac:dyDescent="0.25">
      <c r="A72" s="125" t="s">
        <v>280</v>
      </c>
      <c r="B72" s="125"/>
      <c r="C72" s="125"/>
      <c r="D72" s="128"/>
      <c r="E72" s="64"/>
      <c r="F72" s="60"/>
    </row>
    <row r="73" spans="1:6" x14ac:dyDescent="0.25">
      <c r="A73" s="67" t="s">
        <v>281</v>
      </c>
      <c r="B73" s="70">
        <v>1.07</v>
      </c>
      <c r="C73" s="124" t="s">
        <v>102</v>
      </c>
      <c r="D73" s="124" t="s">
        <v>102</v>
      </c>
      <c r="E73" s="64"/>
      <c r="F73" s="60"/>
    </row>
    <row r="74" spans="1:6" ht="27.95" customHeight="1" x14ac:dyDescent="0.25">
      <c r="A74" s="299" t="s">
        <v>283</v>
      </c>
      <c r="B74" s="299"/>
      <c r="C74" s="299"/>
      <c r="D74" s="300"/>
      <c r="E74" s="64"/>
      <c r="F74" s="60"/>
    </row>
    <row r="75" spans="1:6" ht="57.6" customHeight="1" x14ac:dyDescent="0.25">
      <c r="A75" s="294" t="s">
        <v>287</v>
      </c>
      <c r="B75" s="294"/>
      <c r="C75" s="294"/>
      <c r="D75" s="295"/>
      <c r="E75" s="64"/>
      <c r="F75" s="60"/>
    </row>
    <row r="76" spans="1:6" x14ac:dyDescent="0.25">
      <c r="A76" s="5" t="s">
        <v>205</v>
      </c>
      <c r="B76" s="64"/>
      <c r="C76" s="64"/>
      <c r="D76" s="64"/>
      <c r="E76" s="64"/>
      <c r="F76" s="60"/>
    </row>
    <row r="77" spans="1:6" x14ac:dyDescent="0.25">
      <c r="A77" s="63" t="s">
        <v>58</v>
      </c>
      <c r="B77" s="64"/>
      <c r="C77" s="64"/>
      <c r="D77" s="64"/>
      <c r="E77" s="64"/>
      <c r="F77" s="60"/>
    </row>
    <row r="78" spans="1:6" ht="16.5" x14ac:dyDescent="0.25">
      <c r="A78" s="79" t="s">
        <v>57</v>
      </c>
      <c r="B78" s="76" t="s">
        <v>207</v>
      </c>
      <c r="C78" s="76" t="s">
        <v>208</v>
      </c>
      <c r="D78" s="76" t="s">
        <v>209</v>
      </c>
      <c r="E78" s="76" t="s">
        <v>210</v>
      </c>
      <c r="F78" s="60"/>
    </row>
    <row r="79" spans="1:6" x14ac:dyDescent="0.25">
      <c r="A79" s="67">
        <v>2024</v>
      </c>
      <c r="B79" s="68">
        <v>20800</v>
      </c>
      <c r="C79" s="68">
        <v>55800</v>
      </c>
      <c r="D79" s="68">
        <v>998300</v>
      </c>
      <c r="E79" s="68">
        <v>241</v>
      </c>
      <c r="F79" s="60"/>
    </row>
    <row r="80" spans="1:6" x14ac:dyDescent="0.25">
      <c r="A80" s="67">
        <v>2025</v>
      </c>
      <c r="B80" s="68">
        <v>21100</v>
      </c>
      <c r="C80" s="68">
        <v>56800</v>
      </c>
      <c r="D80" s="68">
        <v>1011100</v>
      </c>
      <c r="E80" s="68">
        <v>246</v>
      </c>
      <c r="F80" s="60"/>
    </row>
    <row r="81" spans="1:6" x14ac:dyDescent="0.25">
      <c r="A81" s="67">
        <v>2026</v>
      </c>
      <c r="B81" s="68">
        <v>21400</v>
      </c>
      <c r="C81" s="68">
        <v>58100</v>
      </c>
      <c r="D81" s="68">
        <v>1029700</v>
      </c>
      <c r="E81" s="68">
        <v>250</v>
      </c>
      <c r="F81" s="60"/>
    </row>
    <row r="82" spans="1:6" x14ac:dyDescent="0.25">
      <c r="A82" s="67">
        <v>2027</v>
      </c>
      <c r="B82" s="68">
        <v>21800</v>
      </c>
      <c r="C82" s="68">
        <v>59500</v>
      </c>
      <c r="D82" s="68">
        <v>1048800</v>
      </c>
      <c r="E82" s="68">
        <v>254</v>
      </c>
      <c r="F82" s="60"/>
    </row>
    <row r="83" spans="1:6" x14ac:dyDescent="0.25">
      <c r="A83" s="67">
        <v>2028</v>
      </c>
      <c r="B83" s="68">
        <v>22100</v>
      </c>
      <c r="C83" s="68">
        <v>60800</v>
      </c>
      <c r="D83" s="68">
        <v>1068200</v>
      </c>
      <c r="E83" s="68">
        <v>259</v>
      </c>
      <c r="F83" s="60"/>
    </row>
    <row r="84" spans="1:6" x14ac:dyDescent="0.25">
      <c r="A84" s="67">
        <v>2029</v>
      </c>
      <c r="B84" s="68">
        <v>22500</v>
      </c>
      <c r="C84" s="68">
        <v>62300</v>
      </c>
      <c r="D84" s="68">
        <v>1087900</v>
      </c>
      <c r="E84" s="68">
        <v>262</v>
      </c>
      <c r="F84" s="60"/>
    </row>
    <row r="85" spans="1:6" x14ac:dyDescent="0.25">
      <c r="A85" s="67">
        <v>2030</v>
      </c>
      <c r="B85" s="68">
        <v>22900</v>
      </c>
      <c r="C85" s="68">
        <v>63700</v>
      </c>
      <c r="D85" s="68">
        <v>1108000</v>
      </c>
      <c r="E85" s="68">
        <v>267</v>
      </c>
      <c r="F85" s="60"/>
    </row>
    <row r="86" spans="1:6" x14ac:dyDescent="0.25">
      <c r="A86" s="67">
        <v>2031</v>
      </c>
      <c r="B86" s="68">
        <v>22900</v>
      </c>
      <c r="C86" s="68">
        <v>63700</v>
      </c>
      <c r="D86" s="68">
        <v>1108000</v>
      </c>
      <c r="E86" s="68">
        <v>272</v>
      </c>
      <c r="F86" s="60"/>
    </row>
    <row r="87" spans="1:6" x14ac:dyDescent="0.25">
      <c r="A87" s="67">
        <v>2032</v>
      </c>
      <c r="B87" s="68">
        <v>22900</v>
      </c>
      <c r="C87" s="68">
        <v>63700</v>
      </c>
      <c r="D87" s="68">
        <v>1108000</v>
      </c>
      <c r="E87" s="68">
        <v>275</v>
      </c>
      <c r="F87" s="60"/>
    </row>
    <row r="88" spans="1:6" x14ac:dyDescent="0.25">
      <c r="A88" s="67">
        <v>2033</v>
      </c>
      <c r="B88" s="68">
        <v>22900</v>
      </c>
      <c r="C88" s="68">
        <v>63700</v>
      </c>
      <c r="D88" s="68">
        <v>1108000</v>
      </c>
      <c r="E88" s="68">
        <v>280</v>
      </c>
      <c r="F88" s="60"/>
    </row>
    <row r="89" spans="1:6" x14ac:dyDescent="0.25">
      <c r="A89" s="67">
        <v>2034</v>
      </c>
      <c r="B89" s="68">
        <v>22900</v>
      </c>
      <c r="C89" s="68">
        <v>63700</v>
      </c>
      <c r="D89" s="68">
        <v>1108000</v>
      </c>
      <c r="E89" s="68">
        <v>284</v>
      </c>
      <c r="F89" s="60"/>
    </row>
    <row r="90" spans="1:6" x14ac:dyDescent="0.25">
      <c r="A90" s="67">
        <v>2035</v>
      </c>
      <c r="B90" s="68">
        <v>22900</v>
      </c>
      <c r="C90" s="68">
        <v>63700</v>
      </c>
      <c r="D90" s="68">
        <v>1108000</v>
      </c>
      <c r="E90" s="68">
        <v>288</v>
      </c>
      <c r="F90" s="60"/>
    </row>
    <row r="91" spans="1:6" x14ac:dyDescent="0.25">
      <c r="A91" s="67">
        <v>2036</v>
      </c>
      <c r="B91" s="68">
        <v>22900</v>
      </c>
      <c r="C91" s="68">
        <v>63700</v>
      </c>
      <c r="D91" s="68">
        <v>1108000</v>
      </c>
      <c r="E91" s="68">
        <v>292</v>
      </c>
      <c r="F91" s="60"/>
    </row>
    <row r="92" spans="1:6" x14ac:dyDescent="0.25">
      <c r="A92" s="67">
        <v>2037</v>
      </c>
      <c r="B92" s="68">
        <v>22900</v>
      </c>
      <c r="C92" s="68">
        <v>63700</v>
      </c>
      <c r="D92" s="68">
        <v>1108000</v>
      </c>
      <c r="E92" s="68">
        <v>297</v>
      </c>
      <c r="F92" s="60"/>
    </row>
    <row r="93" spans="1:6" x14ac:dyDescent="0.25">
      <c r="A93" s="67">
        <v>2038</v>
      </c>
      <c r="B93" s="68">
        <v>22900</v>
      </c>
      <c r="C93" s="68">
        <v>63700</v>
      </c>
      <c r="D93" s="68">
        <v>1108000</v>
      </c>
      <c r="E93" s="68">
        <v>301</v>
      </c>
      <c r="F93" s="60"/>
    </row>
    <row r="94" spans="1:6" x14ac:dyDescent="0.25">
      <c r="A94" s="67">
        <v>2039</v>
      </c>
      <c r="B94" s="68">
        <v>22900</v>
      </c>
      <c r="C94" s="68">
        <v>63700</v>
      </c>
      <c r="D94" s="68">
        <v>1108000</v>
      </c>
      <c r="E94" s="68">
        <v>305</v>
      </c>
      <c r="F94" s="60"/>
    </row>
    <row r="95" spans="1:6" x14ac:dyDescent="0.25">
      <c r="A95" s="67">
        <v>2040</v>
      </c>
      <c r="B95" s="68">
        <v>22900</v>
      </c>
      <c r="C95" s="68">
        <v>63700</v>
      </c>
      <c r="D95" s="68">
        <v>1108000</v>
      </c>
      <c r="E95" s="68">
        <v>310</v>
      </c>
      <c r="F95" s="60"/>
    </row>
    <row r="96" spans="1:6" x14ac:dyDescent="0.25">
      <c r="A96" s="67">
        <v>2041</v>
      </c>
      <c r="B96" s="68">
        <v>22900</v>
      </c>
      <c r="C96" s="68">
        <v>63700</v>
      </c>
      <c r="D96" s="68">
        <v>1108000</v>
      </c>
      <c r="E96" s="68">
        <v>314</v>
      </c>
      <c r="F96" s="60"/>
    </row>
    <row r="97" spans="1:6" x14ac:dyDescent="0.25">
      <c r="A97" s="67">
        <v>2042</v>
      </c>
      <c r="B97" s="68">
        <v>22900</v>
      </c>
      <c r="C97" s="68">
        <v>63700</v>
      </c>
      <c r="D97" s="68">
        <v>1108000</v>
      </c>
      <c r="E97" s="68">
        <v>319</v>
      </c>
      <c r="F97" s="60"/>
    </row>
    <row r="98" spans="1:6" x14ac:dyDescent="0.25">
      <c r="A98" s="67">
        <v>2043</v>
      </c>
      <c r="B98" s="68">
        <v>22900</v>
      </c>
      <c r="C98" s="68">
        <v>63700</v>
      </c>
      <c r="D98" s="68">
        <v>1108000</v>
      </c>
      <c r="E98" s="68">
        <v>324</v>
      </c>
      <c r="F98" s="60"/>
    </row>
    <row r="99" spans="1:6" x14ac:dyDescent="0.25">
      <c r="A99" s="67">
        <v>2044</v>
      </c>
      <c r="B99" s="68">
        <v>22900</v>
      </c>
      <c r="C99" s="68">
        <v>63700</v>
      </c>
      <c r="D99" s="68">
        <v>1108000</v>
      </c>
      <c r="E99" s="68">
        <v>328</v>
      </c>
      <c r="F99" s="60"/>
    </row>
    <row r="100" spans="1:6" x14ac:dyDescent="0.25">
      <c r="A100" s="67">
        <v>2045</v>
      </c>
      <c r="B100" s="68">
        <v>22900</v>
      </c>
      <c r="C100" s="68">
        <v>63700</v>
      </c>
      <c r="D100" s="68">
        <v>1108000</v>
      </c>
      <c r="E100" s="68">
        <v>333</v>
      </c>
      <c r="F100" s="60"/>
    </row>
    <row r="101" spans="1:6" x14ac:dyDescent="0.25">
      <c r="A101" s="67">
        <v>2046</v>
      </c>
      <c r="B101" s="68">
        <v>22900</v>
      </c>
      <c r="C101" s="68">
        <v>63700</v>
      </c>
      <c r="D101" s="68">
        <v>1108000</v>
      </c>
      <c r="E101" s="68">
        <v>338</v>
      </c>
      <c r="F101" s="60"/>
    </row>
    <row r="102" spans="1:6" x14ac:dyDescent="0.25">
      <c r="A102" s="67">
        <v>2047</v>
      </c>
      <c r="B102" s="68">
        <v>22900</v>
      </c>
      <c r="C102" s="68">
        <v>63700</v>
      </c>
      <c r="D102" s="68">
        <v>1108000</v>
      </c>
      <c r="E102" s="68">
        <v>344</v>
      </c>
      <c r="F102" s="60"/>
    </row>
    <row r="103" spans="1:6" x14ac:dyDescent="0.25">
      <c r="A103" s="67">
        <v>2048</v>
      </c>
      <c r="B103" s="68">
        <v>22900</v>
      </c>
      <c r="C103" s="68">
        <v>63700</v>
      </c>
      <c r="D103" s="68">
        <v>1108000</v>
      </c>
      <c r="E103" s="68">
        <v>348</v>
      </c>
      <c r="F103" s="60"/>
    </row>
    <row r="104" spans="1:6" x14ac:dyDescent="0.25">
      <c r="A104" s="67">
        <v>2049</v>
      </c>
      <c r="B104" s="68">
        <v>22900</v>
      </c>
      <c r="C104" s="68">
        <v>63700</v>
      </c>
      <c r="D104" s="68">
        <v>1108000</v>
      </c>
      <c r="E104" s="68">
        <v>353</v>
      </c>
      <c r="F104" s="60"/>
    </row>
    <row r="105" spans="1:6" x14ac:dyDescent="0.25">
      <c r="A105" s="67">
        <v>2050</v>
      </c>
      <c r="B105" s="68">
        <v>22900</v>
      </c>
      <c r="C105" s="68">
        <v>63700</v>
      </c>
      <c r="D105" s="68">
        <v>1108000</v>
      </c>
      <c r="E105" s="68">
        <v>357</v>
      </c>
      <c r="F105" s="60"/>
    </row>
    <row r="106" spans="1:6" x14ac:dyDescent="0.25">
      <c r="A106" s="67">
        <v>2051</v>
      </c>
      <c r="B106" s="68">
        <v>22900</v>
      </c>
      <c r="C106" s="68">
        <v>63700</v>
      </c>
      <c r="D106" s="68">
        <v>1108000</v>
      </c>
      <c r="E106" s="68">
        <v>362</v>
      </c>
      <c r="F106" s="60"/>
    </row>
    <row r="107" spans="1:6" x14ac:dyDescent="0.25">
      <c r="A107" s="67">
        <v>2052</v>
      </c>
      <c r="B107" s="68">
        <v>22900</v>
      </c>
      <c r="C107" s="68">
        <v>63700</v>
      </c>
      <c r="D107" s="68">
        <v>1108000</v>
      </c>
      <c r="E107" s="68">
        <v>366</v>
      </c>
      <c r="F107" s="60"/>
    </row>
    <row r="108" spans="1:6" x14ac:dyDescent="0.25">
      <c r="A108" s="67">
        <v>2053</v>
      </c>
      <c r="B108" s="68">
        <v>22900</v>
      </c>
      <c r="C108" s="68">
        <v>63700</v>
      </c>
      <c r="D108" s="68">
        <v>1108000</v>
      </c>
      <c r="E108" s="82">
        <v>370</v>
      </c>
      <c r="F108" s="60"/>
    </row>
    <row r="109" spans="1:6" x14ac:dyDescent="0.25">
      <c r="A109" s="67">
        <v>2054</v>
      </c>
      <c r="B109" s="68">
        <v>22900</v>
      </c>
      <c r="C109" s="68">
        <v>63700</v>
      </c>
      <c r="D109" s="68">
        <v>1108000</v>
      </c>
      <c r="E109" s="82">
        <v>375</v>
      </c>
      <c r="F109" s="60"/>
    </row>
    <row r="110" spans="1:6" x14ac:dyDescent="0.25">
      <c r="A110" s="80"/>
      <c r="B110" s="81"/>
      <c r="C110" s="81"/>
      <c r="D110" s="81"/>
      <c r="E110" s="82"/>
      <c r="F110" s="60"/>
    </row>
    <row r="111" spans="1:6" x14ac:dyDescent="0.25">
      <c r="A111" s="280" t="s">
        <v>272</v>
      </c>
      <c r="B111" s="281"/>
      <c r="C111" s="281"/>
      <c r="D111" s="281"/>
      <c r="E111" s="282"/>
      <c r="F111" s="60"/>
    </row>
    <row r="112" spans="1:6" ht="16.5" x14ac:dyDescent="0.25">
      <c r="A112" s="283" t="s">
        <v>79</v>
      </c>
      <c r="B112" s="284"/>
      <c r="C112" s="284"/>
      <c r="D112" s="284"/>
      <c r="E112" s="285"/>
      <c r="F112" s="60"/>
    </row>
    <row r="113" spans="1:6" x14ac:dyDescent="0.25">
      <c r="A113" s="5" t="s">
        <v>205</v>
      </c>
      <c r="B113" s="64"/>
      <c r="C113" s="64"/>
      <c r="D113" s="64"/>
      <c r="E113" s="64"/>
      <c r="F113" s="60"/>
    </row>
    <row r="114" spans="1:6" x14ac:dyDescent="0.25">
      <c r="A114" s="63" t="s">
        <v>59</v>
      </c>
      <c r="B114" s="64"/>
      <c r="C114" s="64"/>
      <c r="D114" s="64"/>
      <c r="E114" s="64"/>
      <c r="F114" s="60"/>
    </row>
    <row r="115" spans="1:6" ht="34.5" customHeight="1" x14ac:dyDescent="0.25">
      <c r="A115" s="75" t="s">
        <v>60</v>
      </c>
      <c r="B115" s="76" t="s">
        <v>342</v>
      </c>
      <c r="C115" s="64"/>
      <c r="D115" s="64"/>
      <c r="E115" s="64"/>
      <c r="F115" s="60"/>
    </row>
    <row r="116" spans="1:6" x14ac:dyDescent="0.25">
      <c r="A116" s="83">
        <v>2004</v>
      </c>
      <c r="B116" s="77">
        <v>1.55</v>
      </c>
      <c r="C116" s="64"/>
      <c r="D116" s="64"/>
      <c r="E116" s="64"/>
      <c r="F116" s="60"/>
    </row>
    <row r="117" spans="1:6" x14ac:dyDescent="0.25">
      <c r="A117" s="83">
        <v>2005</v>
      </c>
      <c r="B117" s="77">
        <v>1.5</v>
      </c>
      <c r="C117" s="64"/>
      <c r="D117" s="64"/>
      <c r="E117" s="64"/>
      <c r="F117" s="60"/>
    </row>
    <row r="118" spans="1:6" x14ac:dyDescent="0.25">
      <c r="A118" s="83">
        <v>2006</v>
      </c>
      <c r="B118" s="77">
        <v>1.45</v>
      </c>
      <c r="C118" s="64"/>
      <c r="D118" s="64"/>
      <c r="E118" s="64"/>
      <c r="F118" s="60"/>
    </row>
    <row r="119" spans="1:6" x14ac:dyDescent="0.25">
      <c r="A119" s="83">
        <v>2007</v>
      </c>
      <c r="B119" s="77">
        <v>1.42</v>
      </c>
      <c r="C119" s="64"/>
      <c r="D119" s="64"/>
      <c r="E119" s="64"/>
      <c r="F119" s="60"/>
    </row>
    <row r="120" spans="1:6" x14ac:dyDescent="0.25">
      <c r="A120" s="83">
        <v>2008</v>
      </c>
      <c r="B120" s="77">
        <v>1.39</v>
      </c>
      <c r="C120" s="64"/>
      <c r="D120" s="64"/>
      <c r="E120" s="64"/>
      <c r="F120" s="60"/>
    </row>
    <row r="121" spans="1:6" x14ac:dyDescent="0.25">
      <c r="A121" s="83">
        <v>2009</v>
      </c>
      <c r="B121" s="77">
        <v>1.38</v>
      </c>
      <c r="C121" s="64"/>
      <c r="D121" s="64"/>
      <c r="E121" s="64"/>
      <c r="F121" s="60"/>
    </row>
    <row r="122" spans="1:6" x14ac:dyDescent="0.25">
      <c r="A122" s="83">
        <v>2010</v>
      </c>
      <c r="B122" s="77">
        <v>1.36</v>
      </c>
      <c r="C122" s="64"/>
      <c r="D122" s="64"/>
      <c r="E122" s="64"/>
      <c r="F122" s="60"/>
    </row>
    <row r="123" spans="1:6" x14ac:dyDescent="0.25">
      <c r="A123" s="83">
        <v>2011</v>
      </c>
      <c r="B123" s="77">
        <v>1.34</v>
      </c>
      <c r="C123" s="64"/>
      <c r="D123" s="64"/>
      <c r="E123" s="64"/>
      <c r="F123" s="60"/>
    </row>
    <row r="124" spans="1:6" x14ac:dyDescent="0.25">
      <c r="A124" s="83">
        <v>2012</v>
      </c>
      <c r="B124" s="77">
        <v>1.31</v>
      </c>
      <c r="C124" s="64"/>
      <c r="D124" s="64"/>
      <c r="E124" s="64"/>
      <c r="F124" s="60"/>
    </row>
    <row r="125" spans="1:6" x14ac:dyDescent="0.25">
      <c r="A125" s="83">
        <v>2013</v>
      </c>
      <c r="B125" s="77">
        <v>1.29</v>
      </c>
      <c r="C125" s="64"/>
      <c r="D125" s="64"/>
      <c r="E125" s="64"/>
      <c r="F125" s="60"/>
    </row>
    <row r="126" spans="1:6" x14ac:dyDescent="0.25">
      <c r="A126" s="83">
        <v>2014</v>
      </c>
      <c r="B126" s="77">
        <v>1.27</v>
      </c>
      <c r="C126" s="64"/>
      <c r="D126" s="64"/>
      <c r="E126" s="64"/>
      <c r="F126" s="60"/>
    </row>
    <row r="127" spans="1:6" x14ac:dyDescent="0.25">
      <c r="A127" s="83">
        <v>2015</v>
      </c>
      <c r="B127" s="77">
        <v>1.26</v>
      </c>
      <c r="C127" s="64"/>
      <c r="D127" s="64"/>
      <c r="E127" s="64"/>
      <c r="F127" s="60"/>
    </row>
    <row r="128" spans="1:6" x14ac:dyDescent="0.25">
      <c r="A128" s="83">
        <v>2016</v>
      </c>
      <c r="B128" s="77">
        <v>1.24</v>
      </c>
      <c r="C128" s="64"/>
      <c r="D128" s="64"/>
      <c r="E128" s="64"/>
      <c r="F128" s="60"/>
    </row>
    <row r="129" spans="1:20" x14ac:dyDescent="0.25">
      <c r="A129" s="83">
        <v>2017</v>
      </c>
      <c r="B129" s="77">
        <v>1.22</v>
      </c>
      <c r="C129" s="64"/>
      <c r="D129" s="64"/>
      <c r="E129" s="64"/>
      <c r="F129" s="60"/>
    </row>
    <row r="130" spans="1:20" x14ac:dyDescent="0.25">
      <c r="A130" s="83">
        <v>2018</v>
      </c>
      <c r="B130" s="77">
        <v>1.2</v>
      </c>
      <c r="C130" s="64"/>
      <c r="D130" s="64"/>
      <c r="E130" s="64"/>
      <c r="F130" s="60"/>
    </row>
    <row r="131" spans="1:20" x14ac:dyDescent="0.25">
      <c r="A131" s="83">
        <v>2019</v>
      </c>
      <c r="B131" s="77">
        <v>1.18</v>
      </c>
      <c r="C131" s="64"/>
      <c r="D131" s="64"/>
      <c r="E131" s="64"/>
      <c r="F131" s="60"/>
    </row>
    <row r="132" spans="1:20" x14ac:dyDescent="0.25">
      <c r="A132" s="83">
        <v>2020</v>
      </c>
      <c r="B132" s="77">
        <v>1.1599999999999999</v>
      </c>
      <c r="C132" s="64"/>
      <c r="D132" s="64"/>
      <c r="E132" s="64"/>
      <c r="F132" s="60"/>
    </row>
    <row r="133" spans="1:20" x14ac:dyDescent="0.25">
      <c r="A133" s="83">
        <v>2021</v>
      </c>
      <c r="B133" s="77">
        <v>1.1100000000000001</v>
      </c>
      <c r="C133" s="64"/>
      <c r="D133" s="64"/>
      <c r="E133" s="64"/>
      <c r="F133" s="60"/>
    </row>
    <row r="134" spans="1:20" ht="16.5" thickBot="1" x14ac:dyDescent="0.3">
      <c r="A134" s="83">
        <v>2022</v>
      </c>
      <c r="B134" s="77">
        <v>1.04</v>
      </c>
      <c r="C134" s="64"/>
      <c r="D134" s="64"/>
      <c r="E134" s="64"/>
      <c r="F134" s="60"/>
      <c r="G134" s="308" t="s">
        <v>498</v>
      </c>
      <c r="H134" s="308"/>
      <c r="I134" s="308"/>
      <c r="J134" s="308"/>
      <c r="K134" s="308"/>
      <c r="L134" s="308"/>
      <c r="M134" s="308"/>
      <c r="N134" s="308"/>
      <c r="O134" s="308"/>
      <c r="P134" s="308"/>
      <c r="Q134" s="308"/>
    </row>
    <row r="135" spans="1:20" ht="158.25" thickBot="1" x14ac:dyDescent="0.3">
      <c r="A135" s="83">
        <v>2023</v>
      </c>
      <c r="B135" s="77">
        <v>1</v>
      </c>
      <c r="C135" s="64"/>
      <c r="D135" s="64"/>
      <c r="E135" s="64"/>
      <c r="F135" s="60"/>
      <c r="G135" s="232" t="s">
        <v>499</v>
      </c>
      <c r="H135" s="233" t="s">
        <v>500</v>
      </c>
      <c r="I135" s="234" t="s">
        <v>501</v>
      </c>
      <c r="J135" s="234"/>
      <c r="K135" s="234" t="s">
        <v>501</v>
      </c>
      <c r="L135" s="234" t="s">
        <v>502</v>
      </c>
      <c r="M135" s="234"/>
      <c r="N135" s="234" t="s">
        <v>503</v>
      </c>
      <c r="O135" s="234" t="s">
        <v>504</v>
      </c>
      <c r="P135" s="234" t="s">
        <v>505</v>
      </c>
      <c r="Q135" s="235" t="s">
        <v>506</v>
      </c>
    </row>
    <row r="136" spans="1:20" ht="16.5" thickBot="1" x14ac:dyDescent="0.3">
      <c r="A136" s="5" t="s">
        <v>205</v>
      </c>
      <c r="B136" s="64"/>
      <c r="C136" s="64"/>
      <c r="D136" s="64"/>
      <c r="E136" s="64"/>
      <c r="F136" s="60"/>
      <c r="G136" s="236"/>
      <c r="H136" s="237"/>
      <c r="I136" s="238"/>
      <c r="J136" s="238"/>
      <c r="K136" s="238"/>
      <c r="L136" s="238"/>
      <c r="M136" s="238"/>
      <c r="N136" s="238"/>
      <c r="O136" s="239"/>
      <c r="P136" s="238"/>
      <c r="Q136" s="240"/>
    </row>
    <row r="137" spans="1:20" ht="111" thickBot="1" x14ac:dyDescent="0.3">
      <c r="A137" s="63" t="s">
        <v>61</v>
      </c>
      <c r="B137" s="64"/>
      <c r="C137" s="64"/>
      <c r="D137" s="64"/>
      <c r="E137" s="64"/>
      <c r="F137" s="60"/>
      <c r="G137" s="241" t="s">
        <v>508</v>
      </c>
      <c r="H137" s="237">
        <v>100</v>
      </c>
      <c r="I137" s="238" t="s">
        <v>507</v>
      </c>
      <c r="J137" s="239">
        <v>0.11</v>
      </c>
      <c r="K137" s="239">
        <f>5*J137</f>
        <v>0.55000000000000004</v>
      </c>
      <c r="L137" s="238">
        <v>10</v>
      </c>
      <c r="M137" s="239">
        <v>0.1</v>
      </c>
      <c r="N137" s="239">
        <f>L137*M137</f>
        <v>1</v>
      </c>
      <c r="O137" s="239">
        <f>K137+N137</f>
        <v>1.55</v>
      </c>
      <c r="P137" s="238">
        <v>0.86</v>
      </c>
      <c r="Q137" s="240">
        <v>340</v>
      </c>
    </row>
    <row r="138" spans="1:20" ht="51.75" customHeight="1" thickBot="1" x14ac:dyDescent="0.3">
      <c r="A138" s="75" t="s">
        <v>62</v>
      </c>
      <c r="B138" s="76" t="s">
        <v>343</v>
      </c>
      <c r="C138" s="64"/>
      <c r="D138" s="64"/>
      <c r="E138" s="64"/>
      <c r="F138" s="60"/>
      <c r="G138" s="242" t="s">
        <v>509</v>
      </c>
      <c r="H138" s="243">
        <v>50</v>
      </c>
      <c r="I138" s="228" t="s">
        <v>507</v>
      </c>
      <c r="J138" s="244">
        <v>0.11</v>
      </c>
      <c r="K138" s="244">
        <f>5*0.11</f>
        <v>0.55000000000000004</v>
      </c>
      <c r="L138" s="228">
        <v>10</v>
      </c>
      <c r="M138" s="244">
        <v>0.1</v>
      </c>
      <c r="N138" s="244">
        <f>L138*M138</f>
        <v>1</v>
      </c>
      <c r="O138" s="244">
        <f>K138+N138</f>
        <v>1.55</v>
      </c>
      <c r="P138" s="228">
        <v>0.86</v>
      </c>
      <c r="Q138" s="245">
        <v>340</v>
      </c>
      <c r="S138" s="177"/>
      <c r="T138" s="177"/>
    </row>
    <row r="139" spans="1:20" ht="18" x14ac:dyDescent="0.25">
      <c r="A139" s="84" t="s">
        <v>80</v>
      </c>
      <c r="B139" s="70">
        <v>0.11</v>
      </c>
      <c r="C139" s="64"/>
      <c r="D139" s="64"/>
      <c r="E139" s="64"/>
      <c r="F139" s="60"/>
      <c r="G139" s="309" t="s">
        <v>510</v>
      </c>
      <c r="H139" s="310"/>
      <c r="I139" s="310"/>
      <c r="J139" s="310"/>
      <c r="K139" s="310"/>
      <c r="L139" s="310"/>
      <c r="M139" s="310"/>
      <c r="N139" s="310"/>
      <c r="O139" s="310"/>
      <c r="P139" s="310"/>
      <c r="Q139" s="310"/>
    </row>
    <row r="140" spans="1:20" x14ac:dyDescent="0.25">
      <c r="A140" s="84" t="s">
        <v>63</v>
      </c>
      <c r="B140" s="70">
        <v>1.2</v>
      </c>
      <c r="C140" s="64"/>
      <c r="D140" s="64"/>
      <c r="E140" s="64"/>
      <c r="F140" s="60"/>
    </row>
    <row r="141" spans="1:20" x14ac:dyDescent="0.25">
      <c r="A141" s="84" t="s">
        <v>81</v>
      </c>
      <c r="B141" s="70">
        <v>0.1</v>
      </c>
      <c r="C141" s="64"/>
      <c r="D141" s="64"/>
      <c r="E141" s="64"/>
      <c r="F141" s="60"/>
    </row>
    <row r="142" spans="1:20" ht="30" customHeight="1" x14ac:dyDescent="0.25">
      <c r="A142" s="85" t="s">
        <v>64</v>
      </c>
      <c r="B142" s="86">
        <v>1.1000000000000001E-3</v>
      </c>
      <c r="C142" s="64"/>
      <c r="D142" s="64"/>
      <c r="E142" s="64"/>
      <c r="F142" s="60"/>
    </row>
    <row r="143" spans="1:20" x14ac:dyDescent="0.25">
      <c r="A143" s="5" t="s">
        <v>205</v>
      </c>
      <c r="B143" s="4"/>
      <c r="C143" s="64"/>
      <c r="D143" s="64"/>
      <c r="E143" s="64"/>
      <c r="F143" s="60"/>
    </row>
    <row r="144" spans="1:20" ht="33" x14ac:dyDescent="0.25">
      <c r="A144" s="75" t="s">
        <v>62</v>
      </c>
      <c r="B144" s="76" t="s">
        <v>344</v>
      </c>
      <c r="C144" s="64"/>
      <c r="D144" s="64"/>
      <c r="E144" s="64"/>
      <c r="F144" s="60"/>
    </row>
    <row r="145" spans="1:6" ht="34.5" customHeight="1" x14ac:dyDescent="0.25">
      <c r="A145" s="85" t="s">
        <v>82</v>
      </c>
      <c r="B145" s="70">
        <v>0.21</v>
      </c>
      <c r="C145" s="64"/>
      <c r="D145" s="64"/>
      <c r="E145" s="64"/>
      <c r="F145" s="60"/>
    </row>
    <row r="146" spans="1:6" ht="35.25" customHeight="1" x14ac:dyDescent="0.25">
      <c r="A146" s="85" t="s">
        <v>65</v>
      </c>
      <c r="B146" s="70">
        <v>0.55000000000000004</v>
      </c>
      <c r="C146" s="64"/>
      <c r="D146" s="64"/>
      <c r="E146" s="64"/>
      <c r="F146" s="60"/>
    </row>
    <row r="147" spans="1:6" x14ac:dyDescent="0.25">
      <c r="A147" s="87"/>
      <c r="B147" s="88"/>
      <c r="C147" s="64"/>
      <c r="D147" s="64"/>
      <c r="E147" s="64"/>
      <c r="F147" s="60"/>
    </row>
    <row r="148" spans="1:6" ht="111" customHeight="1" x14ac:dyDescent="0.25">
      <c r="A148" s="292" t="s">
        <v>66</v>
      </c>
      <c r="B148" s="316"/>
      <c r="C148" s="64"/>
      <c r="D148" s="64"/>
      <c r="E148" s="64"/>
      <c r="F148" s="60"/>
    </row>
    <row r="149" spans="1:6" ht="36" customHeight="1" thickBot="1" x14ac:dyDescent="0.3">
      <c r="A149" s="317" t="s">
        <v>67</v>
      </c>
      <c r="B149" s="318"/>
      <c r="C149" s="64"/>
      <c r="D149" s="64"/>
      <c r="E149" s="64"/>
      <c r="F149" s="60"/>
    </row>
    <row r="150" spans="1:6" x14ac:dyDescent="0.25">
      <c r="A150" s="5" t="s">
        <v>205</v>
      </c>
      <c r="B150" s="64"/>
      <c r="C150" s="64"/>
      <c r="D150" s="64"/>
      <c r="E150" s="64"/>
      <c r="F150" s="60"/>
    </row>
    <row r="151" spans="1:6" x14ac:dyDescent="0.25">
      <c r="A151" s="63" t="s">
        <v>68</v>
      </c>
      <c r="B151" s="64"/>
      <c r="C151" s="64"/>
      <c r="D151" s="64"/>
      <c r="E151" s="64"/>
      <c r="F151" s="60"/>
    </row>
    <row r="152" spans="1:6" ht="36.75" customHeight="1" x14ac:dyDescent="0.25">
      <c r="A152" s="75" t="s">
        <v>69</v>
      </c>
      <c r="B152" s="76" t="s">
        <v>345</v>
      </c>
      <c r="C152" s="64"/>
      <c r="D152" s="64"/>
      <c r="E152" s="64"/>
      <c r="F152" s="60"/>
    </row>
    <row r="153" spans="1:6" x14ac:dyDescent="0.25">
      <c r="A153" s="67" t="s">
        <v>70</v>
      </c>
      <c r="B153" s="78">
        <v>1.7</v>
      </c>
      <c r="C153" s="64"/>
      <c r="D153" s="64"/>
      <c r="E153" s="64"/>
      <c r="F153" s="60"/>
    </row>
    <row r="154" spans="1:6" ht="18" x14ac:dyDescent="0.25">
      <c r="A154" s="67" t="s">
        <v>74</v>
      </c>
      <c r="B154" s="78">
        <v>2.13</v>
      </c>
      <c r="C154" s="64"/>
      <c r="D154" s="64"/>
      <c r="E154" s="64"/>
      <c r="F154" s="60"/>
    </row>
    <row r="155" spans="1:6" x14ac:dyDescent="0.25">
      <c r="A155" s="67" t="s">
        <v>71</v>
      </c>
      <c r="B155" s="78">
        <v>2.02</v>
      </c>
      <c r="C155" s="64"/>
      <c r="D155" s="64"/>
      <c r="E155" s="64"/>
      <c r="F155" s="60"/>
    </row>
    <row r="156" spans="1:6" x14ac:dyDescent="0.25">
      <c r="A156" s="67" t="s">
        <v>72</v>
      </c>
      <c r="B156" s="78">
        <v>0.32</v>
      </c>
      <c r="C156" s="64"/>
      <c r="D156" s="64"/>
      <c r="E156" s="64"/>
      <c r="F156" s="60"/>
    </row>
    <row r="157" spans="1:6" x14ac:dyDescent="0.25">
      <c r="A157" s="67" t="s">
        <v>73</v>
      </c>
      <c r="B157" s="78">
        <v>2.02</v>
      </c>
      <c r="C157" s="64"/>
      <c r="D157" s="64"/>
      <c r="E157" s="64"/>
      <c r="F157" s="60"/>
    </row>
    <row r="158" spans="1:6" x14ac:dyDescent="0.25">
      <c r="A158" s="65"/>
      <c r="B158" s="4"/>
      <c r="C158" s="64"/>
      <c r="D158" s="64"/>
      <c r="E158" s="64"/>
      <c r="F158" s="60"/>
    </row>
    <row r="159" spans="1:6" ht="153.75" customHeight="1" x14ac:dyDescent="0.25">
      <c r="A159" s="292" t="s">
        <v>76</v>
      </c>
      <c r="B159" s="316"/>
      <c r="C159" s="64"/>
      <c r="D159" s="64"/>
      <c r="E159" s="64"/>
      <c r="F159" s="60"/>
    </row>
    <row r="160" spans="1:6" ht="50.25" customHeight="1" thickBot="1" x14ac:dyDescent="0.3">
      <c r="A160" s="317" t="s">
        <v>75</v>
      </c>
      <c r="B160" s="318"/>
      <c r="C160" s="64"/>
      <c r="D160" s="64"/>
      <c r="E160" s="64"/>
      <c r="F160" s="60"/>
    </row>
    <row r="161" spans="1:6" x14ac:dyDescent="0.25">
      <c r="A161" s="5" t="s">
        <v>205</v>
      </c>
      <c r="F161" s="60"/>
    </row>
    <row r="162" spans="1:6" x14ac:dyDescent="0.25">
      <c r="A162" s="63" t="s">
        <v>83</v>
      </c>
      <c r="F162" s="60"/>
    </row>
    <row r="163" spans="1:6" ht="15.75" customHeight="1" x14ac:dyDescent="0.25">
      <c r="A163" s="306" t="s">
        <v>84</v>
      </c>
      <c r="B163" s="307" t="s">
        <v>346</v>
      </c>
      <c r="C163" s="307"/>
      <c r="D163" s="307"/>
      <c r="F163" s="60"/>
    </row>
    <row r="164" spans="1:6" ht="37.5" customHeight="1" x14ac:dyDescent="0.25">
      <c r="A164" s="306"/>
      <c r="B164" s="76" t="s">
        <v>86</v>
      </c>
      <c r="C164" s="76" t="s">
        <v>88</v>
      </c>
      <c r="D164" s="76" t="s">
        <v>87</v>
      </c>
      <c r="F164" s="60"/>
    </row>
    <row r="165" spans="1:6" x14ac:dyDescent="0.25">
      <c r="A165" s="89" t="s">
        <v>89</v>
      </c>
      <c r="B165" s="90">
        <v>0.04</v>
      </c>
      <c r="C165" s="90">
        <v>0.04</v>
      </c>
      <c r="D165" s="90">
        <v>7.0000000000000007E-2</v>
      </c>
      <c r="F165" s="60"/>
    </row>
    <row r="166" spans="1:6" x14ac:dyDescent="0.25">
      <c r="A166" s="89" t="s">
        <v>90</v>
      </c>
      <c r="B166" s="90">
        <v>0.35</v>
      </c>
      <c r="C166" s="90">
        <v>0.17</v>
      </c>
      <c r="D166" s="90">
        <v>0.97</v>
      </c>
      <c r="F166" s="60"/>
    </row>
    <row r="167" spans="1:6" x14ac:dyDescent="0.25">
      <c r="A167" s="89" t="s">
        <v>91</v>
      </c>
      <c r="B167" s="90">
        <v>0.26</v>
      </c>
      <c r="C167" s="90">
        <v>0.26</v>
      </c>
      <c r="D167" s="90">
        <v>0.12</v>
      </c>
      <c r="F167" s="60"/>
    </row>
    <row r="168" spans="1:6" x14ac:dyDescent="0.25">
      <c r="A168" s="89" t="s">
        <v>92</v>
      </c>
      <c r="B168" s="90">
        <v>0.35</v>
      </c>
      <c r="C168" s="90">
        <v>0.06</v>
      </c>
      <c r="D168" s="90">
        <v>0.11</v>
      </c>
      <c r="F168" s="60"/>
    </row>
    <row r="169" spans="1:6" ht="18" x14ac:dyDescent="0.25">
      <c r="A169" s="89" t="s">
        <v>108</v>
      </c>
      <c r="B169" s="90">
        <v>0.21</v>
      </c>
      <c r="C169" s="90">
        <v>0.15</v>
      </c>
      <c r="D169" s="90">
        <v>0.14000000000000001</v>
      </c>
      <c r="F169" s="60"/>
    </row>
    <row r="170" spans="1:6" ht="18" x14ac:dyDescent="0.25">
      <c r="A170" s="89" t="s">
        <v>109</v>
      </c>
      <c r="B170" s="90">
        <v>0.28000000000000003</v>
      </c>
      <c r="C170" s="90">
        <v>0.18</v>
      </c>
      <c r="D170" s="90">
        <v>0.14000000000000001</v>
      </c>
      <c r="F170" s="60"/>
    </row>
    <row r="171" spans="1:6" x14ac:dyDescent="0.25">
      <c r="A171" s="89" t="s">
        <v>93</v>
      </c>
      <c r="B171" s="90">
        <v>0.16</v>
      </c>
      <c r="C171" s="90">
        <v>0.16</v>
      </c>
      <c r="D171" s="90">
        <v>0.12</v>
      </c>
      <c r="F171" s="60"/>
    </row>
    <row r="172" spans="1:6" x14ac:dyDescent="0.25">
      <c r="A172" s="89" t="s">
        <v>94</v>
      </c>
      <c r="B172" s="90">
        <v>0.12</v>
      </c>
      <c r="C172" s="90">
        <v>0.12</v>
      </c>
      <c r="D172" s="90">
        <v>7.0000000000000007E-2</v>
      </c>
      <c r="F172" s="60"/>
    </row>
    <row r="173" spans="1:6" x14ac:dyDescent="0.25">
      <c r="A173" s="89" t="s">
        <v>95</v>
      </c>
      <c r="B173" s="90">
        <v>0.08</v>
      </c>
      <c r="C173" s="90">
        <v>0.03</v>
      </c>
      <c r="D173" s="90">
        <v>0.2</v>
      </c>
      <c r="F173" s="60"/>
    </row>
    <row r="174" spans="1:6" x14ac:dyDescent="0.25">
      <c r="A174" s="89" t="s">
        <v>96</v>
      </c>
      <c r="B174" s="90">
        <v>0.36</v>
      </c>
      <c r="C174" s="90">
        <v>0.36</v>
      </c>
      <c r="D174" s="90">
        <v>0.23</v>
      </c>
      <c r="F174" s="60"/>
    </row>
    <row r="175" spans="1:6" x14ac:dyDescent="0.25">
      <c r="A175" s="89" t="s">
        <v>97</v>
      </c>
      <c r="B175" s="90">
        <v>0.47</v>
      </c>
      <c r="C175" s="90">
        <v>0.08</v>
      </c>
      <c r="D175" s="90">
        <v>0.08</v>
      </c>
      <c r="F175" s="60"/>
    </row>
    <row r="176" spans="1:6" x14ac:dyDescent="0.25">
      <c r="A176" s="89" t="s">
        <v>98</v>
      </c>
      <c r="B176" s="90">
        <v>0.35</v>
      </c>
      <c r="C176" s="90">
        <v>0.35</v>
      </c>
      <c r="D176" s="90">
        <v>0.36</v>
      </c>
      <c r="F176" s="60"/>
    </row>
    <row r="177" spans="1:6" ht="18" x14ac:dyDescent="0.25">
      <c r="A177" s="89" t="s">
        <v>110</v>
      </c>
      <c r="B177" s="90">
        <v>0.7</v>
      </c>
      <c r="C177" s="90">
        <v>0.7</v>
      </c>
      <c r="D177" s="90">
        <v>0.7</v>
      </c>
      <c r="F177" s="60"/>
    </row>
    <row r="178" spans="1:6" x14ac:dyDescent="0.25">
      <c r="A178" s="89" t="s">
        <v>99</v>
      </c>
      <c r="B178" s="90">
        <v>0.12</v>
      </c>
      <c r="C178" s="90">
        <v>0.12</v>
      </c>
      <c r="D178" s="90">
        <v>7.0000000000000007E-2</v>
      </c>
      <c r="F178" s="60"/>
    </row>
    <row r="179" spans="1:6" x14ac:dyDescent="0.25">
      <c r="A179" s="89" t="s">
        <v>100</v>
      </c>
      <c r="B179" s="90">
        <v>0.26</v>
      </c>
      <c r="C179" s="90">
        <v>0.11</v>
      </c>
      <c r="D179" s="90">
        <v>0.53</v>
      </c>
      <c r="F179" s="60"/>
    </row>
    <row r="180" spans="1:6" x14ac:dyDescent="0.25">
      <c r="A180" s="89" t="s">
        <v>101</v>
      </c>
      <c r="B180" s="91" t="s">
        <v>102</v>
      </c>
      <c r="C180" s="91" t="s">
        <v>102</v>
      </c>
      <c r="D180" s="90">
        <v>0.11</v>
      </c>
      <c r="F180" s="60"/>
    </row>
    <row r="181" spans="1:6" x14ac:dyDescent="0.25">
      <c r="A181" s="89" t="s">
        <v>103</v>
      </c>
      <c r="B181" s="91" t="s">
        <v>102</v>
      </c>
      <c r="C181" s="91" t="s">
        <v>102</v>
      </c>
      <c r="D181" s="90">
        <v>0.13</v>
      </c>
      <c r="F181" s="60"/>
    </row>
    <row r="182" spans="1:6" x14ac:dyDescent="0.25">
      <c r="A182" s="89" t="s">
        <v>104</v>
      </c>
      <c r="B182" s="91" t="s">
        <v>102</v>
      </c>
      <c r="C182" s="91" t="s">
        <v>102</v>
      </c>
      <c r="D182" s="90">
        <v>0.08</v>
      </c>
      <c r="F182" s="60"/>
    </row>
    <row r="183" spans="1:6" x14ac:dyDescent="0.25">
      <c r="A183" s="89" t="s">
        <v>105</v>
      </c>
      <c r="B183" s="91" t="s">
        <v>102</v>
      </c>
      <c r="C183" s="91" t="s">
        <v>102</v>
      </c>
      <c r="D183" s="90">
        <v>0.04</v>
      </c>
      <c r="F183" s="60"/>
    </row>
    <row r="184" spans="1:6" x14ac:dyDescent="0.25">
      <c r="A184" s="89" t="s">
        <v>106</v>
      </c>
      <c r="B184" s="91" t="s">
        <v>102</v>
      </c>
      <c r="C184" s="91" t="s">
        <v>102</v>
      </c>
      <c r="D184" s="90">
        <v>0.11</v>
      </c>
      <c r="F184" s="60"/>
    </row>
    <row r="185" spans="1:6" x14ac:dyDescent="0.25">
      <c r="A185" s="89" t="s">
        <v>107</v>
      </c>
      <c r="B185" s="91" t="s">
        <v>102</v>
      </c>
      <c r="C185" s="91" t="s">
        <v>102</v>
      </c>
      <c r="D185" s="90">
        <v>0.06</v>
      </c>
      <c r="F185" s="60"/>
    </row>
    <row r="186" spans="1:6" ht="18" x14ac:dyDescent="0.25">
      <c r="A186" s="89" t="s">
        <v>111</v>
      </c>
      <c r="B186" s="91" t="s">
        <v>102</v>
      </c>
      <c r="C186" s="91" t="s">
        <v>102</v>
      </c>
      <c r="D186" s="90">
        <v>0.23</v>
      </c>
      <c r="F186" s="60"/>
    </row>
    <row r="187" spans="1:6" x14ac:dyDescent="0.25">
      <c r="A187" s="92"/>
      <c r="B187" s="58"/>
      <c r="C187" s="58"/>
      <c r="D187" s="59"/>
      <c r="F187" s="60"/>
    </row>
    <row r="188" spans="1:6" ht="63.75" customHeight="1" x14ac:dyDescent="0.25">
      <c r="A188" s="290" t="s">
        <v>112</v>
      </c>
      <c r="B188" s="305"/>
      <c r="C188" s="305"/>
      <c r="D188" s="291"/>
      <c r="F188" s="60"/>
    </row>
    <row r="189" spans="1:6" x14ac:dyDescent="0.25">
      <c r="A189" s="5" t="s">
        <v>205</v>
      </c>
      <c r="F189" s="60"/>
    </row>
    <row r="190" spans="1:6" x14ac:dyDescent="0.25">
      <c r="A190" s="63" t="s">
        <v>113</v>
      </c>
      <c r="F190" s="60"/>
    </row>
    <row r="191" spans="1:6" x14ac:dyDescent="0.25">
      <c r="A191" s="306" t="s">
        <v>84</v>
      </c>
      <c r="B191" s="307" t="s">
        <v>346</v>
      </c>
      <c r="C191" s="307"/>
      <c r="D191" s="307"/>
      <c r="F191" s="60"/>
    </row>
    <row r="192" spans="1:6" x14ac:dyDescent="0.25">
      <c r="A192" s="306"/>
      <c r="B192" s="76" t="s">
        <v>85</v>
      </c>
      <c r="C192" s="76" t="s">
        <v>114</v>
      </c>
      <c r="D192" s="76" t="s">
        <v>115</v>
      </c>
      <c r="F192" s="60"/>
    </row>
    <row r="193" spans="1:6" x14ac:dyDescent="0.25">
      <c r="A193" s="89" t="s">
        <v>90</v>
      </c>
      <c r="B193" s="90">
        <v>0.24</v>
      </c>
      <c r="C193" s="90">
        <v>0.24</v>
      </c>
      <c r="D193" s="90">
        <v>0.25</v>
      </c>
      <c r="F193" s="60"/>
    </row>
    <row r="194" spans="1:6" x14ac:dyDescent="0.25">
      <c r="A194" s="89" t="s">
        <v>116</v>
      </c>
      <c r="B194" s="90">
        <v>0.14000000000000001</v>
      </c>
      <c r="C194" s="90">
        <v>0.14000000000000001</v>
      </c>
      <c r="D194" s="90">
        <v>0.35</v>
      </c>
      <c r="F194" s="60"/>
    </row>
    <row r="195" spans="1:6" x14ac:dyDescent="0.25">
      <c r="A195" s="89" t="s">
        <v>117</v>
      </c>
      <c r="B195" s="90">
        <v>0.1</v>
      </c>
      <c r="C195" s="90">
        <v>0.1</v>
      </c>
      <c r="D195" s="90">
        <v>0.1</v>
      </c>
      <c r="F195" s="60"/>
    </row>
    <row r="196" spans="1:6" x14ac:dyDescent="0.25">
      <c r="A196" s="89" t="s">
        <v>92</v>
      </c>
      <c r="B196" s="90">
        <v>0.43</v>
      </c>
      <c r="C196" s="90">
        <v>0.43</v>
      </c>
      <c r="D196" s="90">
        <v>0.44</v>
      </c>
      <c r="F196" s="60"/>
    </row>
    <row r="197" spans="1:6" x14ac:dyDescent="0.25">
      <c r="A197" s="89" t="s">
        <v>98</v>
      </c>
      <c r="B197" s="90">
        <v>0.25</v>
      </c>
      <c r="C197" s="90">
        <v>0.25</v>
      </c>
      <c r="D197" s="90">
        <v>0.7</v>
      </c>
      <c r="F197" s="60"/>
    </row>
    <row r="198" spans="1:6" x14ac:dyDescent="0.25">
      <c r="A198" s="89" t="s">
        <v>118</v>
      </c>
      <c r="B198" s="90">
        <v>0.35</v>
      </c>
      <c r="C198" s="90">
        <v>0.14000000000000001</v>
      </c>
      <c r="D198" s="90">
        <v>0.53</v>
      </c>
      <c r="F198" s="60"/>
    </row>
    <row r="199" spans="1:6" x14ac:dyDescent="0.25">
      <c r="A199" s="89" t="s">
        <v>119</v>
      </c>
      <c r="B199" s="90">
        <v>0.05</v>
      </c>
      <c r="C199" s="90">
        <v>0.05</v>
      </c>
      <c r="D199" s="90">
        <v>0.05</v>
      </c>
      <c r="F199" s="60"/>
    </row>
    <row r="200" spans="1:6" x14ac:dyDescent="0.25">
      <c r="A200" s="89" t="s">
        <v>120</v>
      </c>
      <c r="B200" s="91" t="s">
        <v>102</v>
      </c>
      <c r="C200" s="91" t="s">
        <v>102</v>
      </c>
      <c r="D200" s="90">
        <v>0.03</v>
      </c>
      <c r="F200" s="60"/>
    </row>
    <row r="201" spans="1:6" x14ac:dyDescent="0.25">
      <c r="A201" s="89" t="s">
        <v>93</v>
      </c>
      <c r="B201" s="91" t="s">
        <v>102</v>
      </c>
      <c r="C201" s="91" t="s">
        <v>102</v>
      </c>
      <c r="D201" s="90">
        <v>0.21</v>
      </c>
      <c r="F201" s="60"/>
    </row>
    <row r="202" spans="1:6" x14ac:dyDescent="0.25">
      <c r="A202" s="5" t="s">
        <v>205</v>
      </c>
      <c r="F202" s="60"/>
    </row>
    <row r="203" spans="1:6" x14ac:dyDescent="0.25">
      <c r="A203" s="63" t="s">
        <v>121</v>
      </c>
      <c r="F203" s="60"/>
    </row>
    <row r="204" spans="1:6" ht="47.25" x14ac:dyDescent="0.25">
      <c r="A204" s="75" t="s">
        <v>122</v>
      </c>
      <c r="B204" s="93" t="s">
        <v>347</v>
      </c>
      <c r="C204" s="93" t="s">
        <v>348</v>
      </c>
      <c r="F204" s="60"/>
    </row>
    <row r="205" spans="1:6" ht="17.25" x14ac:dyDescent="0.25">
      <c r="A205" s="89" t="s">
        <v>127</v>
      </c>
      <c r="B205" s="90">
        <v>0.35</v>
      </c>
      <c r="C205" s="90">
        <v>0.42</v>
      </c>
      <c r="F205" s="60"/>
    </row>
    <row r="206" spans="1:6" ht="17.25" x14ac:dyDescent="0.25">
      <c r="A206" s="89" t="s">
        <v>128</v>
      </c>
      <c r="B206" s="90">
        <v>0.7</v>
      </c>
      <c r="C206" s="90">
        <v>0.84</v>
      </c>
      <c r="F206" s="60"/>
    </row>
    <row r="207" spans="1:6" ht="17.25" x14ac:dyDescent="0.25">
      <c r="A207" s="89" t="s">
        <v>129</v>
      </c>
      <c r="B207" s="90">
        <v>1.76</v>
      </c>
      <c r="C207" s="90">
        <v>1.69</v>
      </c>
      <c r="F207" s="60"/>
    </row>
    <row r="208" spans="1:6" x14ac:dyDescent="0.25">
      <c r="A208" s="89" t="s">
        <v>123</v>
      </c>
      <c r="B208" s="90">
        <v>2.11</v>
      </c>
      <c r="C208" s="90">
        <v>2.11</v>
      </c>
      <c r="F208" s="60"/>
    </row>
    <row r="209" spans="1:6" x14ac:dyDescent="0.25">
      <c r="A209" s="89" t="s">
        <v>124</v>
      </c>
      <c r="B209" s="90">
        <v>3.52</v>
      </c>
      <c r="C209" s="90">
        <v>3.8</v>
      </c>
      <c r="F209" s="60"/>
    </row>
    <row r="210" spans="1:6" x14ac:dyDescent="0.25">
      <c r="A210" s="89" t="s">
        <v>125</v>
      </c>
      <c r="B210" s="90">
        <v>3.87</v>
      </c>
      <c r="C210" s="90">
        <v>4.22</v>
      </c>
      <c r="F210" s="60"/>
    </row>
    <row r="211" spans="1:6" x14ac:dyDescent="0.25">
      <c r="A211" s="89" t="s">
        <v>126</v>
      </c>
      <c r="B211" s="90">
        <v>5.63</v>
      </c>
      <c r="C211" s="90">
        <v>4.22</v>
      </c>
      <c r="F211" s="60"/>
    </row>
    <row r="212" spans="1:6" ht="17.25" x14ac:dyDescent="0.25">
      <c r="A212" s="89" t="s">
        <v>130</v>
      </c>
      <c r="B212" s="90">
        <v>3.87</v>
      </c>
      <c r="C212" s="90">
        <v>4.22</v>
      </c>
      <c r="F212" s="60"/>
    </row>
    <row r="213" spans="1:6" x14ac:dyDescent="0.25">
      <c r="A213" s="92"/>
      <c r="B213" s="58"/>
      <c r="C213" s="59"/>
      <c r="F213" s="60"/>
    </row>
    <row r="214" spans="1:6" ht="48.75" customHeight="1" x14ac:dyDescent="0.25">
      <c r="A214" s="292" t="s">
        <v>131</v>
      </c>
      <c r="B214" s="304"/>
      <c r="C214" s="293"/>
      <c r="F214" s="60"/>
    </row>
    <row r="215" spans="1:6" ht="96.75" customHeight="1" x14ac:dyDescent="0.25">
      <c r="A215" s="292" t="s">
        <v>132</v>
      </c>
      <c r="B215" s="304"/>
      <c r="C215" s="293"/>
      <c r="F215" s="60"/>
    </row>
    <row r="216" spans="1:6" ht="66.75" customHeight="1" x14ac:dyDescent="0.25">
      <c r="A216" s="290" t="s">
        <v>158</v>
      </c>
      <c r="B216" s="305"/>
      <c r="C216" s="291"/>
      <c r="F216" s="60"/>
    </row>
    <row r="217" spans="1:6" x14ac:dyDescent="0.25">
      <c r="A217" s="5" t="s">
        <v>205</v>
      </c>
      <c r="F217" s="60"/>
    </row>
    <row r="218" spans="1:6" x14ac:dyDescent="0.25">
      <c r="A218" s="63" t="s">
        <v>133</v>
      </c>
      <c r="F218" s="60"/>
    </row>
    <row r="219" spans="1:6" ht="47.25" x14ac:dyDescent="0.25">
      <c r="A219" s="75" t="s">
        <v>135</v>
      </c>
      <c r="B219" s="93" t="s">
        <v>206</v>
      </c>
      <c r="C219" s="93" t="s">
        <v>349</v>
      </c>
      <c r="F219" s="60"/>
    </row>
    <row r="220" spans="1:6" ht="17.25" x14ac:dyDescent="0.25">
      <c r="A220" s="89" t="s">
        <v>136</v>
      </c>
      <c r="B220" s="91" t="s">
        <v>138</v>
      </c>
      <c r="C220" s="90">
        <v>8.06</v>
      </c>
      <c r="F220" s="60"/>
    </row>
    <row r="221" spans="1:6" ht="17.25" x14ac:dyDescent="0.25">
      <c r="A221" s="89" t="s">
        <v>137</v>
      </c>
      <c r="B221" s="91" t="s">
        <v>139</v>
      </c>
      <c r="C221" s="90">
        <v>7.18</v>
      </c>
      <c r="F221" s="60"/>
    </row>
    <row r="222" spans="1:6" x14ac:dyDescent="0.25">
      <c r="A222" s="92"/>
      <c r="B222" s="58"/>
      <c r="C222" s="59"/>
      <c r="F222" s="60"/>
    </row>
    <row r="223" spans="1:6" ht="50.25" customHeight="1" x14ac:dyDescent="0.25">
      <c r="A223" s="292" t="s">
        <v>140</v>
      </c>
      <c r="B223" s="304"/>
      <c r="C223" s="293"/>
      <c r="F223" s="60"/>
    </row>
    <row r="224" spans="1:6" ht="51" customHeight="1" x14ac:dyDescent="0.25">
      <c r="A224" s="292" t="s">
        <v>141</v>
      </c>
      <c r="B224" s="304"/>
      <c r="C224" s="293"/>
      <c r="F224" s="60"/>
    </row>
    <row r="225" spans="1:6" ht="49.5" customHeight="1" x14ac:dyDescent="0.25">
      <c r="A225" s="292" t="s">
        <v>142</v>
      </c>
      <c r="B225" s="304"/>
      <c r="C225" s="293"/>
      <c r="F225" s="60"/>
    </row>
    <row r="226" spans="1:6" ht="80.25" customHeight="1" x14ac:dyDescent="0.25">
      <c r="A226" s="290" t="s">
        <v>143</v>
      </c>
      <c r="B226" s="305"/>
      <c r="C226" s="291"/>
      <c r="F226" s="60"/>
    </row>
    <row r="227" spans="1:6" x14ac:dyDescent="0.25">
      <c r="A227" s="5" t="s">
        <v>205</v>
      </c>
      <c r="F227" s="60"/>
    </row>
    <row r="228" spans="1:6" x14ac:dyDescent="0.25">
      <c r="A228" s="63" t="s">
        <v>134</v>
      </c>
      <c r="F228" s="60"/>
    </row>
    <row r="229" spans="1:6" ht="15.75" customHeight="1" x14ac:dyDescent="0.25">
      <c r="A229" s="306" t="s">
        <v>144</v>
      </c>
      <c r="B229" s="301" t="s">
        <v>350</v>
      </c>
      <c r="C229" s="302"/>
      <c r="D229" s="302"/>
      <c r="E229" s="302"/>
      <c r="F229" s="303"/>
    </row>
    <row r="230" spans="1:6" ht="49.5" x14ac:dyDescent="0.25">
      <c r="A230" s="306"/>
      <c r="B230" s="76" t="s">
        <v>145</v>
      </c>
      <c r="C230" s="76" t="s">
        <v>146</v>
      </c>
      <c r="D230" s="76" t="s">
        <v>147</v>
      </c>
      <c r="E230" s="76" t="s">
        <v>288</v>
      </c>
      <c r="F230" s="76" t="s">
        <v>289</v>
      </c>
    </row>
    <row r="231" spans="1:6" x14ac:dyDescent="0.25">
      <c r="A231" s="89" t="s">
        <v>148</v>
      </c>
      <c r="B231" s="94">
        <v>0.14299999999999999</v>
      </c>
      <c r="C231" s="95">
        <v>2E-3</v>
      </c>
      <c r="D231" s="94">
        <v>1.7999999999999999E-2</v>
      </c>
      <c r="E231" s="94" t="s">
        <v>102</v>
      </c>
      <c r="F231" s="94">
        <v>0.11</v>
      </c>
    </row>
    <row r="232" spans="1:6" x14ac:dyDescent="0.25">
      <c r="A232" s="89" t="s">
        <v>149</v>
      </c>
      <c r="B232" s="94">
        <v>0.03</v>
      </c>
      <c r="C232" s="95">
        <v>2.0000000000000001E-4</v>
      </c>
      <c r="D232" s="94">
        <v>0.10199999999999999</v>
      </c>
      <c r="E232" s="94" t="s">
        <v>102</v>
      </c>
      <c r="F232" s="94">
        <v>0.113</v>
      </c>
    </row>
    <row r="233" spans="1:6" x14ac:dyDescent="0.25">
      <c r="A233" s="89" t="s">
        <v>150</v>
      </c>
      <c r="B233" s="94">
        <v>0.12</v>
      </c>
      <c r="C233" s="95">
        <v>1.1000000000000001E-3</v>
      </c>
      <c r="D233" s="94">
        <v>4.2000000000000003E-2</v>
      </c>
      <c r="E233" s="94">
        <v>1.2999999999999999E-2</v>
      </c>
      <c r="F233" s="94">
        <v>0.111</v>
      </c>
    </row>
    <row r="234" spans="1:6" x14ac:dyDescent="0.25">
      <c r="A234" s="89" t="s">
        <v>151</v>
      </c>
      <c r="B234" s="94">
        <v>0.35799999999999998</v>
      </c>
      <c r="C234" s="95">
        <v>4.53E-2</v>
      </c>
      <c r="D234" s="94">
        <v>1.7000000000000001E-2</v>
      </c>
      <c r="E234" s="94" t="s">
        <v>102</v>
      </c>
      <c r="F234" s="94">
        <v>0.314</v>
      </c>
    </row>
    <row r="235" spans="1:6" x14ac:dyDescent="0.25">
      <c r="A235" s="89" t="s">
        <v>152</v>
      </c>
      <c r="B235" s="94">
        <v>7.8E-2</v>
      </c>
      <c r="C235" s="95">
        <v>3.8E-3</v>
      </c>
      <c r="D235" s="94">
        <v>2.9000000000000001E-2</v>
      </c>
      <c r="E235" s="94" t="s">
        <v>102</v>
      </c>
      <c r="F235" s="94">
        <v>0.31</v>
      </c>
    </row>
    <row r="236" spans="1:6" x14ac:dyDescent="0.25">
      <c r="A236" s="89" t="s">
        <v>153</v>
      </c>
      <c r="B236" s="94">
        <v>0.245</v>
      </c>
      <c r="C236" s="95">
        <v>2.2800000000000001E-2</v>
      </c>
      <c r="D236" s="94">
        <v>2.1999999999999999E-2</v>
      </c>
      <c r="E236" s="94">
        <v>3.6999999999999998E-2</v>
      </c>
      <c r="F236" s="94">
        <v>0.312</v>
      </c>
    </row>
    <row r="237" spans="1:6" x14ac:dyDescent="0.25">
      <c r="A237" s="89" t="s">
        <v>154</v>
      </c>
      <c r="B237" s="94">
        <v>0.159</v>
      </c>
      <c r="C237" s="95">
        <v>5.3E-3</v>
      </c>
      <c r="D237" s="94">
        <v>1.7999999999999999E-2</v>
      </c>
      <c r="E237" s="94" t="s">
        <v>102</v>
      </c>
      <c r="F237" s="94">
        <v>0.128</v>
      </c>
    </row>
    <row r="238" spans="1:6" x14ac:dyDescent="0.25">
      <c r="A238" s="89" t="s">
        <v>155</v>
      </c>
      <c r="B238" s="94">
        <v>3.6999999999999998E-2</v>
      </c>
      <c r="C238" s="95">
        <v>6.9999999999999999E-4</v>
      </c>
      <c r="D238" s="94">
        <v>9.0999999999999998E-2</v>
      </c>
      <c r="E238" s="94" t="s">
        <v>102</v>
      </c>
      <c r="F238" s="94">
        <v>0.14499999999999999</v>
      </c>
    </row>
    <row r="239" spans="1:6" x14ac:dyDescent="0.25">
      <c r="A239" s="89" t="s">
        <v>156</v>
      </c>
      <c r="B239" s="94">
        <v>0.13300000000000001</v>
      </c>
      <c r="C239" s="95">
        <v>3.2000000000000002E-3</v>
      </c>
      <c r="D239" s="94">
        <v>0.04</v>
      </c>
      <c r="E239" s="94">
        <v>1.4999999999999999E-2</v>
      </c>
      <c r="F239" s="94">
        <v>0.13300000000000001</v>
      </c>
    </row>
    <row r="240" spans="1:6" x14ac:dyDescent="0.25">
      <c r="A240" s="92"/>
      <c r="B240" s="58"/>
      <c r="C240" s="58"/>
      <c r="D240" s="59"/>
      <c r="F240" s="60"/>
    </row>
    <row r="241" spans="1:6" ht="32.1" customHeight="1" x14ac:dyDescent="0.25">
      <c r="A241" s="292" t="s">
        <v>351</v>
      </c>
      <c r="B241" s="304"/>
      <c r="C241" s="304"/>
      <c r="D241" s="304"/>
      <c r="E241" s="304"/>
      <c r="F241" s="293"/>
    </row>
    <row r="242" spans="1:6" ht="32.450000000000003" customHeight="1" x14ac:dyDescent="0.25">
      <c r="A242" s="294" t="s">
        <v>290</v>
      </c>
      <c r="B242" s="294"/>
      <c r="C242" s="294"/>
      <c r="D242" s="294"/>
      <c r="E242" s="294"/>
      <c r="F242" s="295"/>
    </row>
  </sheetData>
  <mergeCells count="39">
    <mergeCell ref="G134:Q134"/>
    <mergeCell ref="G139:Q139"/>
    <mergeCell ref="H7:J7"/>
    <mergeCell ref="H14:I14"/>
    <mergeCell ref="A225:C225"/>
    <mergeCell ref="B163:D163"/>
    <mergeCell ref="A163:A164"/>
    <mergeCell ref="A148:B148"/>
    <mergeCell ref="A149:B149"/>
    <mergeCell ref="A159:B159"/>
    <mergeCell ref="A20:B20"/>
    <mergeCell ref="A21:B21"/>
    <mergeCell ref="A36:B36"/>
    <mergeCell ref="A37:B37"/>
    <mergeCell ref="A160:B160"/>
    <mergeCell ref="A38:B38"/>
    <mergeCell ref="A242:F242"/>
    <mergeCell ref="B60:D60"/>
    <mergeCell ref="A74:D74"/>
    <mergeCell ref="A75:D75"/>
    <mergeCell ref="B229:F229"/>
    <mergeCell ref="A241:F241"/>
    <mergeCell ref="A226:C226"/>
    <mergeCell ref="A229:A230"/>
    <mergeCell ref="A214:C214"/>
    <mergeCell ref="A215:C215"/>
    <mergeCell ref="A216:C216"/>
    <mergeCell ref="A223:C223"/>
    <mergeCell ref="A224:C224"/>
    <mergeCell ref="A188:D188"/>
    <mergeCell ref="A191:A192"/>
    <mergeCell ref="B191:D191"/>
    <mergeCell ref="A111:E111"/>
    <mergeCell ref="A112:E112"/>
    <mergeCell ref="A39:B39"/>
    <mergeCell ref="A40:B40"/>
    <mergeCell ref="A49:B49"/>
    <mergeCell ref="A56:B56"/>
    <mergeCell ref="A57:B57"/>
  </mergeCells>
  <hyperlinks>
    <hyperlink ref="A3" r:id="rId1" display="Tables A-1 through A-4 come from USDOT BCA Guidance (March 2022, Revised)" xr:uid="{68918682-7B21-4C2E-A89E-E2125912E2A4}"/>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52AF6-D5FB-40DE-935F-B23E8B0B3C6A}">
  <sheetPr>
    <tabColor theme="9" tint="0.39997558519241921"/>
  </sheetPr>
  <dimension ref="A1:BX246"/>
  <sheetViews>
    <sheetView topLeftCell="A9" workbookViewId="0">
      <selection activeCell="F5" sqref="F5"/>
    </sheetView>
  </sheetViews>
  <sheetFormatPr defaultRowHeight="15" x14ac:dyDescent="0.25"/>
  <cols>
    <col min="1" max="1" width="30.140625" customWidth="1"/>
    <col min="2" max="5" width="20.7109375" customWidth="1"/>
    <col min="6" max="6" width="16.5703125" customWidth="1"/>
    <col min="7" max="7" width="17.42578125" customWidth="1"/>
    <col min="8" max="8" width="21.140625" customWidth="1"/>
    <col min="9" max="9" width="16.140625" customWidth="1"/>
    <col min="10" max="10" width="16.85546875" customWidth="1"/>
    <col min="11" max="11" width="17.28515625" customWidth="1"/>
    <col min="12" max="12" width="16.85546875" customWidth="1"/>
    <col min="13" max="13" width="17.28515625" customWidth="1"/>
    <col min="14" max="76" width="9.140625" style="5"/>
  </cols>
  <sheetData>
    <row r="1" spans="1:62" ht="20.25" thickBot="1" x14ac:dyDescent="0.35">
      <c r="A1" s="96" t="s">
        <v>306</v>
      </c>
      <c r="B1" s="5"/>
      <c r="C1" s="5"/>
      <c r="D1" s="5"/>
      <c r="E1" s="5"/>
      <c r="F1" s="5"/>
      <c r="G1" s="5"/>
      <c r="H1" s="5"/>
      <c r="I1" s="5"/>
      <c r="J1" s="5"/>
      <c r="K1" s="5"/>
      <c r="L1" s="5"/>
      <c r="M1" s="5"/>
    </row>
    <row r="2" spans="1:62" ht="15.75" thickTop="1" x14ac:dyDescent="0.25">
      <c r="A2" s="152" t="s">
        <v>330</v>
      </c>
      <c r="B2" s="152"/>
      <c r="C2" s="152"/>
      <c r="D2" s="152"/>
      <c r="E2" s="152"/>
      <c r="F2" s="152"/>
      <c r="G2" s="152"/>
      <c r="H2" s="152"/>
      <c r="I2" s="5"/>
      <c r="J2" s="5"/>
      <c r="K2" s="5"/>
      <c r="L2" s="5"/>
      <c r="M2" s="5"/>
    </row>
    <row r="3" spans="1:62" x14ac:dyDescent="0.25">
      <c r="A3" s="152" t="s">
        <v>307</v>
      </c>
      <c r="B3" s="152"/>
      <c r="C3" s="152"/>
      <c r="D3" s="152"/>
      <c r="E3" s="152"/>
      <c r="F3" s="152"/>
      <c r="G3" s="152"/>
      <c r="H3" s="152"/>
      <c r="I3" s="5"/>
      <c r="J3" s="5"/>
      <c r="K3" s="5"/>
      <c r="L3" s="5"/>
      <c r="M3" s="5"/>
    </row>
    <row r="4" spans="1:62" x14ac:dyDescent="0.25">
      <c r="A4" s="152" t="s">
        <v>216</v>
      </c>
      <c r="B4" s="152"/>
      <c r="C4" s="152"/>
      <c r="D4" s="152"/>
      <c r="E4" s="152"/>
      <c r="F4" s="5"/>
      <c r="G4" s="5"/>
      <c r="H4" s="5"/>
      <c r="I4" s="5"/>
      <c r="J4" s="5"/>
      <c r="K4" s="5"/>
      <c r="L4" s="5"/>
      <c r="M4" s="5"/>
    </row>
    <row r="5" spans="1:62" x14ac:dyDescent="0.25">
      <c r="A5" s="152" t="s">
        <v>215</v>
      </c>
      <c r="B5" s="152"/>
      <c r="C5" s="152"/>
      <c r="D5" s="152"/>
      <c r="E5" s="5"/>
      <c r="F5" s="5"/>
      <c r="G5" s="5"/>
      <c r="H5" s="5"/>
      <c r="I5" s="5"/>
      <c r="J5" s="5"/>
      <c r="K5" s="5"/>
      <c r="L5" s="5"/>
      <c r="M5" s="5"/>
    </row>
    <row r="6" spans="1:62" x14ac:dyDescent="0.25">
      <c r="A6" s="5" t="s">
        <v>205</v>
      </c>
      <c r="B6" s="5"/>
      <c r="C6" s="5"/>
      <c r="D6" s="5"/>
      <c r="E6" s="5"/>
      <c r="F6" s="5"/>
      <c r="G6" s="5"/>
      <c r="H6" s="5"/>
      <c r="I6" s="5"/>
      <c r="J6" s="5"/>
      <c r="K6" s="5"/>
      <c r="L6" s="5"/>
      <c r="M6" s="5"/>
    </row>
    <row r="7" spans="1:62" ht="15.75" thickBot="1" x14ac:dyDescent="0.3">
      <c r="A7" s="146" t="s">
        <v>218</v>
      </c>
      <c r="B7" s="5"/>
      <c r="C7" s="5"/>
      <c r="D7" s="5"/>
      <c r="E7" s="5"/>
      <c r="F7" s="5"/>
      <c r="G7" s="5"/>
      <c r="H7" s="5"/>
      <c r="I7" s="5"/>
      <c r="J7" s="5"/>
      <c r="K7" s="5"/>
      <c r="L7" s="5"/>
      <c r="M7" s="5"/>
    </row>
    <row r="8" spans="1:62" x14ac:dyDescent="0.25">
      <c r="A8" s="5"/>
      <c r="B8" s="322" t="s">
        <v>189</v>
      </c>
      <c r="C8" s="321"/>
      <c r="D8" s="320" t="s">
        <v>190</v>
      </c>
      <c r="E8" s="321"/>
      <c r="F8" s="320" t="s">
        <v>187</v>
      </c>
      <c r="G8" s="321"/>
      <c r="H8" s="320" t="s">
        <v>188</v>
      </c>
      <c r="I8" s="321"/>
      <c r="J8" s="320" t="s">
        <v>191</v>
      </c>
      <c r="K8" s="321"/>
      <c r="L8" s="320" t="s">
        <v>194</v>
      </c>
      <c r="M8" s="321"/>
      <c r="O8" s="10" t="s">
        <v>161</v>
      </c>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2"/>
    </row>
    <row r="9" spans="1:62" x14ac:dyDescent="0.25">
      <c r="A9" s="102" t="s">
        <v>4</v>
      </c>
      <c r="B9" s="103" t="s">
        <v>192</v>
      </c>
      <c r="C9" s="103" t="s">
        <v>193</v>
      </c>
      <c r="D9" s="103" t="s">
        <v>192</v>
      </c>
      <c r="E9" s="103" t="s">
        <v>193</v>
      </c>
      <c r="F9" s="103" t="s">
        <v>192</v>
      </c>
      <c r="G9" s="103" t="s">
        <v>193</v>
      </c>
      <c r="H9" s="103" t="s">
        <v>192</v>
      </c>
      <c r="I9" s="103" t="s">
        <v>193</v>
      </c>
      <c r="J9" s="103" t="s">
        <v>192</v>
      </c>
      <c r="K9" s="103" t="s">
        <v>193</v>
      </c>
      <c r="L9" s="103" t="s">
        <v>192</v>
      </c>
      <c r="M9" s="103" t="s">
        <v>193</v>
      </c>
      <c r="O9" s="13"/>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s="14"/>
    </row>
    <row r="10" spans="1:62" x14ac:dyDescent="0.25">
      <c r="A10" s="6">
        <f>'Project Information'!$B$9</f>
        <v>2029</v>
      </c>
      <c r="B10" s="41">
        <v>0</v>
      </c>
      <c r="C10" s="41">
        <v>0</v>
      </c>
      <c r="D10" s="41">
        <v>0</v>
      </c>
      <c r="E10" s="41">
        <v>0</v>
      </c>
      <c r="F10" s="41">
        <v>0</v>
      </c>
      <c r="G10" s="41">
        <v>0</v>
      </c>
      <c r="H10" s="41">
        <v>0</v>
      </c>
      <c r="I10" s="41">
        <v>0</v>
      </c>
      <c r="J10" s="41">
        <v>0</v>
      </c>
      <c r="K10" s="41">
        <v>0</v>
      </c>
      <c r="L10" s="41">
        <v>0</v>
      </c>
      <c r="M10" s="41">
        <v>0</v>
      </c>
      <c r="O10" s="13"/>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s="14"/>
    </row>
    <row r="11" spans="1:62" x14ac:dyDescent="0.25">
      <c r="A11" s="1">
        <f>IF(A10&lt;'Project Information'!B$11,A10+1,"")</f>
        <v>2030</v>
      </c>
      <c r="B11" s="41">
        <v>0</v>
      </c>
      <c r="C11" s="41">
        <v>0</v>
      </c>
      <c r="D11" s="41">
        <v>0</v>
      </c>
      <c r="E11" s="41">
        <v>0</v>
      </c>
      <c r="F11" s="41">
        <v>0</v>
      </c>
      <c r="G11" s="41">
        <v>0</v>
      </c>
      <c r="H11" s="41">
        <v>0</v>
      </c>
      <c r="I11" s="41">
        <v>0</v>
      </c>
      <c r="J11" s="41">
        <v>0</v>
      </c>
      <c r="K11" s="41">
        <v>0</v>
      </c>
      <c r="L11" s="41">
        <v>0</v>
      </c>
      <c r="M11" s="41">
        <v>0</v>
      </c>
      <c r="O11" s="13"/>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s="14"/>
    </row>
    <row r="12" spans="1:62" x14ac:dyDescent="0.25">
      <c r="A12" s="1">
        <f>IF(A11&lt;'Project Information'!B$11,A11+1,"")</f>
        <v>2031</v>
      </c>
      <c r="B12" s="41">
        <v>0</v>
      </c>
      <c r="C12" s="41">
        <v>0</v>
      </c>
      <c r="D12" s="41">
        <v>0</v>
      </c>
      <c r="E12" s="41">
        <v>0</v>
      </c>
      <c r="F12" s="41">
        <v>0</v>
      </c>
      <c r="G12" s="41">
        <v>0</v>
      </c>
      <c r="H12" s="41">
        <v>0</v>
      </c>
      <c r="I12" s="41">
        <v>0</v>
      </c>
      <c r="J12" s="41">
        <v>0</v>
      </c>
      <c r="K12" s="41">
        <v>0</v>
      </c>
      <c r="L12" s="41">
        <v>0</v>
      </c>
      <c r="M12" s="41">
        <v>0</v>
      </c>
      <c r="O12" s="13"/>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s="14"/>
    </row>
    <row r="13" spans="1:62" x14ac:dyDescent="0.25">
      <c r="A13" s="1">
        <f>IF(A12&lt;'Project Information'!B$11,A12+1,"")</f>
        <v>2032</v>
      </c>
      <c r="B13" s="41">
        <v>0</v>
      </c>
      <c r="C13" s="41">
        <v>0</v>
      </c>
      <c r="D13" s="41">
        <v>0</v>
      </c>
      <c r="E13" s="41">
        <v>0</v>
      </c>
      <c r="F13" s="41">
        <v>0</v>
      </c>
      <c r="G13" s="41">
        <v>0</v>
      </c>
      <c r="H13" s="41">
        <v>0</v>
      </c>
      <c r="I13" s="41">
        <v>0</v>
      </c>
      <c r="J13" s="41">
        <v>0</v>
      </c>
      <c r="K13" s="41">
        <v>0</v>
      </c>
      <c r="L13" s="41">
        <v>0</v>
      </c>
      <c r="M13" s="41">
        <v>0</v>
      </c>
      <c r="O13" s="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s="14"/>
    </row>
    <row r="14" spans="1:62" x14ac:dyDescent="0.25">
      <c r="A14" s="1">
        <f>IF(A13&lt;'Project Information'!B$11,A13+1,"")</f>
        <v>2033</v>
      </c>
      <c r="B14" s="41">
        <v>0</v>
      </c>
      <c r="C14" s="41">
        <v>0</v>
      </c>
      <c r="D14" s="41">
        <v>0</v>
      </c>
      <c r="E14" s="41">
        <v>0</v>
      </c>
      <c r="F14" s="41">
        <v>0</v>
      </c>
      <c r="G14" s="41">
        <v>0</v>
      </c>
      <c r="H14" s="41">
        <v>0</v>
      </c>
      <c r="I14" s="41">
        <v>0</v>
      </c>
      <c r="J14" s="41">
        <v>0</v>
      </c>
      <c r="K14" s="41">
        <v>0</v>
      </c>
      <c r="L14" s="41">
        <v>0</v>
      </c>
      <c r="M14" s="41">
        <v>0</v>
      </c>
      <c r="O14" s="13"/>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s="14"/>
    </row>
    <row r="15" spans="1:62" x14ac:dyDescent="0.25">
      <c r="A15" s="1">
        <f>IF(A14&lt;'Project Information'!B$11,A14+1,"")</f>
        <v>2034</v>
      </c>
      <c r="B15" s="41">
        <v>0</v>
      </c>
      <c r="C15" s="41">
        <v>0</v>
      </c>
      <c r="D15" s="41">
        <v>0</v>
      </c>
      <c r="E15" s="41">
        <v>0</v>
      </c>
      <c r="F15" s="41">
        <v>0</v>
      </c>
      <c r="G15" s="41">
        <v>0</v>
      </c>
      <c r="H15" s="41">
        <v>0</v>
      </c>
      <c r="I15" s="41">
        <v>0</v>
      </c>
      <c r="J15" s="41">
        <v>0</v>
      </c>
      <c r="K15" s="41">
        <v>0</v>
      </c>
      <c r="L15" s="41">
        <v>0</v>
      </c>
      <c r="M15" s="41">
        <v>0</v>
      </c>
      <c r="O15" s="13"/>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s="14"/>
    </row>
    <row r="16" spans="1:62" x14ac:dyDescent="0.25">
      <c r="A16" s="1">
        <f>IF(A15&lt;'Project Information'!B$11,A15+1,"")</f>
        <v>2035</v>
      </c>
      <c r="B16" s="41">
        <v>0</v>
      </c>
      <c r="C16" s="41">
        <v>0</v>
      </c>
      <c r="D16" s="41">
        <v>0</v>
      </c>
      <c r="E16" s="41">
        <v>0</v>
      </c>
      <c r="F16" s="41">
        <v>0</v>
      </c>
      <c r="G16" s="41">
        <v>0</v>
      </c>
      <c r="H16" s="41">
        <v>0</v>
      </c>
      <c r="I16" s="41">
        <v>0</v>
      </c>
      <c r="J16" s="41">
        <v>0</v>
      </c>
      <c r="K16" s="41">
        <v>0</v>
      </c>
      <c r="L16" s="41">
        <v>0</v>
      </c>
      <c r="M16" s="41">
        <v>0</v>
      </c>
      <c r="O16" s="13"/>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s="14"/>
    </row>
    <row r="17" spans="1:62" x14ac:dyDescent="0.25">
      <c r="A17" s="1">
        <f>IF(A16&lt;'Project Information'!B$11,A16+1,"")</f>
        <v>2036</v>
      </c>
      <c r="B17" s="41">
        <v>0</v>
      </c>
      <c r="C17" s="41">
        <v>0</v>
      </c>
      <c r="D17" s="41">
        <v>0</v>
      </c>
      <c r="E17" s="41">
        <v>0</v>
      </c>
      <c r="F17" s="41">
        <v>0</v>
      </c>
      <c r="G17" s="41">
        <v>0</v>
      </c>
      <c r="H17" s="41">
        <v>0</v>
      </c>
      <c r="I17" s="41">
        <v>0</v>
      </c>
      <c r="J17" s="41">
        <v>0</v>
      </c>
      <c r="K17" s="41">
        <v>0</v>
      </c>
      <c r="L17" s="41">
        <v>0</v>
      </c>
      <c r="M17" s="41">
        <v>0</v>
      </c>
      <c r="O17" s="13"/>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s="14"/>
    </row>
    <row r="18" spans="1:62" x14ac:dyDescent="0.25">
      <c r="A18" s="1">
        <f>IF(A17&lt;'Project Information'!B$11,A17+1,"")</f>
        <v>2037</v>
      </c>
      <c r="B18" s="41">
        <v>0</v>
      </c>
      <c r="C18" s="41">
        <v>0</v>
      </c>
      <c r="D18" s="41">
        <v>0</v>
      </c>
      <c r="E18" s="41">
        <v>0</v>
      </c>
      <c r="F18" s="41">
        <v>0</v>
      </c>
      <c r="G18" s="41">
        <v>0</v>
      </c>
      <c r="H18" s="41">
        <v>0</v>
      </c>
      <c r="I18" s="41">
        <v>0</v>
      </c>
      <c r="J18" s="41">
        <v>0</v>
      </c>
      <c r="K18" s="41">
        <v>0</v>
      </c>
      <c r="L18" s="41">
        <v>0</v>
      </c>
      <c r="M18" s="41">
        <v>0</v>
      </c>
      <c r="O18" s="13"/>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s="14"/>
    </row>
    <row r="19" spans="1:62" x14ac:dyDescent="0.25">
      <c r="A19" s="1">
        <f>IF(A18&lt;'Project Information'!B$11,A18+1,"")</f>
        <v>2038</v>
      </c>
      <c r="B19" s="41">
        <v>0</v>
      </c>
      <c r="C19" s="41">
        <v>0</v>
      </c>
      <c r="D19" s="41">
        <v>0</v>
      </c>
      <c r="E19" s="41">
        <v>0</v>
      </c>
      <c r="F19" s="41">
        <v>0</v>
      </c>
      <c r="G19" s="41">
        <v>0</v>
      </c>
      <c r="H19" s="41">
        <v>0</v>
      </c>
      <c r="I19" s="41">
        <v>0</v>
      </c>
      <c r="J19" s="41">
        <v>0</v>
      </c>
      <c r="K19" s="41">
        <v>0</v>
      </c>
      <c r="L19" s="41">
        <v>0</v>
      </c>
      <c r="M19" s="41">
        <v>0</v>
      </c>
      <c r="O19" s="13"/>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s="14"/>
    </row>
    <row r="20" spans="1:62" x14ac:dyDescent="0.25">
      <c r="A20" s="1">
        <f>IF(A19&lt;'Project Information'!B$11,A19+1,"")</f>
        <v>2039</v>
      </c>
      <c r="B20" s="41">
        <v>0</v>
      </c>
      <c r="C20" s="41">
        <v>0</v>
      </c>
      <c r="D20" s="41">
        <v>0</v>
      </c>
      <c r="E20" s="41">
        <v>0</v>
      </c>
      <c r="F20" s="41">
        <v>0</v>
      </c>
      <c r="G20" s="41">
        <v>0</v>
      </c>
      <c r="H20" s="41">
        <v>0</v>
      </c>
      <c r="I20" s="41">
        <v>0</v>
      </c>
      <c r="J20" s="41">
        <v>0</v>
      </c>
      <c r="K20" s="41">
        <v>0</v>
      </c>
      <c r="L20" s="41">
        <v>0</v>
      </c>
      <c r="M20" s="41">
        <v>0</v>
      </c>
      <c r="O20" s="13"/>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s="14"/>
    </row>
    <row r="21" spans="1:62" x14ac:dyDescent="0.25">
      <c r="A21" s="1">
        <f>IF(A20&lt;'Project Information'!B$11,A20+1,"")</f>
        <v>2040</v>
      </c>
      <c r="B21" s="41">
        <v>0</v>
      </c>
      <c r="C21" s="41">
        <v>0</v>
      </c>
      <c r="D21" s="41">
        <v>0</v>
      </c>
      <c r="E21" s="41">
        <v>0</v>
      </c>
      <c r="F21" s="41">
        <v>0</v>
      </c>
      <c r="G21" s="41">
        <v>0</v>
      </c>
      <c r="H21" s="41">
        <v>0</v>
      </c>
      <c r="I21" s="41">
        <v>0</v>
      </c>
      <c r="J21" s="41">
        <v>0</v>
      </c>
      <c r="K21" s="41">
        <v>0</v>
      </c>
      <c r="L21" s="41">
        <v>0</v>
      </c>
      <c r="M21" s="41">
        <v>0</v>
      </c>
      <c r="O21" s="13"/>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s="14"/>
    </row>
    <row r="22" spans="1:62" x14ac:dyDescent="0.25">
      <c r="A22" s="1">
        <f>IF(A21&lt;'Project Information'!B$11,A21+1,"")</f>
        <v>2041</v>
      </c>
      <c r="B22" s="41">
        <v>0</v>
      </c>
      <c r="C22" s="41">
        <v>0</v>
      </c>
      <c r="D22" s="41">
        <v>0</v>
      </c>
      <c r="E22" s="41">
        <v>0</v>
      </c>
      <c r="F22" s="41">
        <v>0</v>
      </c>
      <c r="G22" s="41">
        <v>0</v>
      </c>
      <c r="H22" s="41">
        <v>0</v>
      </c>
      <c r="I22" s="41">
        <v>0</v>
      </c>
      <c r="J22" s="41">
        <v>0</v>
      </c>
      <c r="K22" s="41">
        <v>0</v>
      </c>
      <c r="L22" s="41">
        <v>0</v>
      </c>
      <c r="M22" s="41">
        <v>0</v>
      </c>
      <c r="O22" s="13"/>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s="14"/>
    </row>
    <row r="23" spans="1:62" x14ac:dyDescent="0.25">
      <c r="A23" s="1">
        <f>IF(A22&lt;'Project Information'!B$11,A22+1,"")</f>
        <v>2042</v>
      </c>
      <c r="B23" s="41">
        <v>0</v>
      </c>
      <c r="C23" s="41">
        <v>0</v>
      </c>
      <c r="D23" s="41">
        <v>0</v>
      </c>
      <c r="E23" s="41">
        <v>0</v>
      </c>
      <c r="F23" s="41">
        <v>0</v>
      </c>
      <c r="G23" s="41">
        <v>0</v>
      </c>
      <c r="H23" s="41">
        <v>0</v>
      </c>
      <c r="I23" s="41">
        <v>0</v>
      </c>
      <c r="J23" s="41">
        <v>0</v>
      </c>
      <c r="K23" s="41">
        <v>0</v>
      </c>
      <c r="L23" s="41">
        <v>0</v>
      </c>
      <c r="M23" s="41">
        <v>0</v>
      </c>
      <c r="O23" s="1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s="14"/>
    </row>
    <row r="24" spans="1:62" x14ac:dyDescent="0.25">
      <c r="A24" s="1">
        <f>IF(A23&lt;'Project Information'!B$11,A23+1,"")</f>
        <v>2043</v>
      </c>
      <c r="B24" s="41">
        <v>0</v>
      </c>
      <c r="C24" s="41">
        <v>0</v>
      </c>
      <c r="D24" s="41">
        <v>0</v>
      </c>
      <c r="E24" s="41">
        <v>0</v>
      </c>
      <c r="F24" s="41">
        <v>0</v>
      </c>
      <c r="G24" s="41">
        <v>0</v>
      </c>
      <c r="H24" s="41">
        <v>0</v>
      </c>
      <c r="I24" s="41">
        <v>0</v>
      </c>
      <c r="J24" s="41">
        <v>0</v>
      </c>
      <c r="K24" s="41">
        <v>0</v>
      </c>
      <c r="L24" s="41">
        <v>0</v>
      </c>
      <c r="M24" s="41">
        <v>0</v>
      </c>
      <c r="O24" s="13"/>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s="14"/>
    </row>
    <row r="25" spans="1:62" x14ac:dyDescent="0.25">
      <c r="A25" s="1">
        <f>IF(A24&lt;'Project Information'!B$11,A24+1,"")</f>
        <v>2044</v>
      </c>
      <c r="B25" s="41">
        <v>0</v>
      </c>
      <c r="C25" s="41">
        <v>0</v>
      </c>
      <c r="D25" s="41">
        <v>0</v>
      </c>
      <c r="E25" s="41">
        <v>0</v>
      </c>
      <c r="F25" s="41">
        <v>0</v>
      </c>
      <c r="G25" s="41">
        <v>0</v>
      </c>
      <c r="H25" s="41">
        <v>0</v>
      </c>
      <c r="I25" s="41">
        <v>0</v>
      </c>
      <c r="J25" s="41">
        <v>0</v>
      </c>
      <c r="K25" s="41">
        <v>0</v>
      </c>
      <c r="L25" s="41">
        <v>0</v>
      </c>
      <c r="M25" s="41">
        <v>0</v>
      </c>
      <c r="O25" s="13"/>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s="14"/>
    </row>
    <row r="26" spans="1:62" x14ac:dyDescent="0.25">
      <c r="A26" s="1">
        <f>IF(A25&lt;'Project Information'!B$11,A25+1,"")</f>
        <v>2045</v>
      </c>
      <c r="B26" s="41">
        <v>0</v>
      </c>
      <c r="C26" s="41">
        <v>0</v>
      </c>
      <c r="D26" s="41">
        <v>0</v>
      </c>
      <c r="E26" s="41">
        <v>0</v>
      </c>
      <c r="F26" s="41">
        <v>0</v>
      </c>
      <c r="G26" s="41">
        <v>0</v>
      </c>
      <c r="H26" s="41">
        <v>0</v>
      </c>
      <c r="I26" s="41">
        <v>0</v>
      </c>
      <c r="J26" s="41">
        <v>0</v>
      </c>
      <c r="K26" s="41">
        <v>0</v>
      </c>
      <c r="L26" s="41">
        <v>0</v>
      </c>
      <c r="M26" s="41">
        <v>0</v>
      </c>
      <c r="O26" s="13"/>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s="14"/>
    </row>
    <row r="27" spans="1:62" x14ac:dyDescent="0.25">
      <c r="A27" s="1">
        <f>IF(A26&lt;'Project Information'!B$11,A26+1,"")</f>
        <v>2046</v>
      </c>
      <c r="B27" s="41">
        <v>0</v>
      </c>
      <c r="C27" s="41">
        <v>0</v>
      </c>
      <c r="D27" s="41">
        <v>0</v>
      </c>
      <c r="E27" s="41">
        <v>0</v>
      </c>
      <c r="F27" s="41">
        <v>0</v>
      </c>
      <c r="G27" s="41">
        <v>0</v>
      </c>
      <c r="H27" s="41">
        <v>0</v>
      </c>
      <c r="I27" s="41">
        <v>0</v>
      </c>
      <c r="J27" s="41">
        <v>0</v>
      </c>
      <c r="K27" s="41">
        <v>0</v>
      </c>
      <c r="L27" s="41">
        <v>0</v>
      </c>
      <c r="M27" s="41">
        <v>0</v>
      </c>
      <c r="O27" s="13"/>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s="14"/>
    </row>
    <row r="28" spans="1:62" x14ac:dyDescent="0.25">
      <c r="A28" s="1">
        <f>IF(A27&lt;'Project Information'!B$11,A27+1,"")</f>
        <v>2047</v>
      </c>
      <c r="B28" s="41">
        <v>0</v>
      </c>
      <c r="C28" s="41">
        <v>0</v>
      </c>
      <c r="D28" s="41">
        <v>0</v>
      </c>
      <c r="E28" s="41">
        <v>0</v>
      </c>
      <c r="F28" s="41">
        <v>0</v>
      </c>
      <c r="G28" s="41">
        <v>0</v>
      </c>
      <c r="H28" s="41">
        <v>0</v>
      </c>
      <c r="I28" s="41">
        <v>0</v>
      </c>
      <c r="J28" s="41">
        <v>0</v>
      </c>
      <c r="K28" s="41">
        <v>0</v>
      </c>
      <c r="L28" s="41">
        <v>0</v>
      </c>
      <c r="M28" s="41">
        <v>0</v>
      </c>
      <c r="O28" s="13"/>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s="14"/>
    </row>
    <row r="29" spans="1:62" x14ac:dyDescent="0.25">
      <c r="A29" s="1">
        <f>IF(A28&lt;'Project Information'!B$11,A28+1,"")</f>
        <v>2048</v>
      </c>
      <c r="B29" s="41">
        <v>0</v>
      </c>
      <c r="C29" s="41">
        <v>0</v>
      </c>
      <c r="D29" s="41">
        <v>0</v>
      </c>
      <c r="E29" s="41">
        <v>0</v>
      </c>
      <c r="F29" s="41">
        <v>0</v>
      </c>
      <c r="G29" s="41">
        <v>0</v>
      </c>
      <c r="H29" s="41">
        <v>0</v>
      </c>
      <c r="I29" s="41">
        <v>0</v>
      </c>
      <c r="J29" s="41">
        <v>0</v>
      </c>
      <c r="K29" s="41">
        <v>0</v>
      </c>
      <c r="L29" s="41">
        <v>0</v>
      </c>
      <c r="M29" s="41">
        <v>0</v>
      </c>
      <c r="O29" s="13"/>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s="14"/>
    </row>
    <row r="30" spans="1:62" x14ac:dyDescent="0.25">
      <c r="A30" s="1" t="str">
        <f>IF(A29&lt;'Project Information'!B$11,A29+1,"")</f>
        <v/>
      </c>
      <c r="B30" s="41">
        <v>0</v>
      </c>
      <c r="C30" s="41">
        <v>0</v>
      </c>
      <c r="D30" s="41">
        <v>0</v>
      </c>
      <c r="E30" s="41">
        <v>0</v>
      </c>
      <c r="F30" s="41">
        <v>0</v>
      </c>
      <c r="G30" s="41">
        <v>0</v>
      </c>
      <c r="H30" s="41">
        <v>0</v>
      </c>
      <c r="I30" s="41">
        <v>0</v>
      </c>
      <c r="J30" s="41">
        <v>0</v>
      </c>
      <c r="K30" s="41">
        <v>0</v>
      </c>
      <c r="L30" s="41">
        <v>0</v>
      </c>
      <c r="M30" s="41">
        <v>0</v>
      </c>
      <c r="O30" s="13"/>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s="14"/>
    </row>
    <row r="31" spans="1:62" x14ac:dyDescent="0.25">
      <c r="A31" s="1" t="str">
        <f>IF(A30&lt;'Project Information'!B$11,A30+1,"")</f>
        <v/>
      </c>
      <c r="B31" s="41">
        <v>0</v>
      </c>
      <c r="C31" s="41">
        <v>0</v>
      </c>
      <c r="D31" s="41">
        <v>0</v>
      </c>
      <c r="E31" s="41">
        <v>0</v>
      </c>
      <c r="F31" s="41">
        <v>0</v>
      </c>
      <c r="G31" s="41">
        <v>0</v>
      </c>
      <c r="H31" s="41">
        <v>0</v>
      </c>
      <c r="I31" s="41">
        <v>0</v>
      </c>
      <c r="J31" s="41">
        <v>0</v>
      </c>
      <c r="K31" s="41">
        <v>0</v>
      </c>
      <c r="L31" s="41">
        <v>0</v>
      </c>
      <c r="M31" s="41">
        <v>0</v>
      </c>
      <c r="O31" s="13"/>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s="14"/>
    </row>
    <row r="32" spans="1:62" x14ac:dyDescent="0.25">
      <c r="A32" s="1" t="str">
        <f>IF(A31&lt;'Project Information'!B$11,A31+1,"")</f>
        <v/>
      </c>
      <c r="B32" s="41">
        <v>0</v>
      </c>
      <c r="C32" s="41">
        <v>0</v>
      </c>
      <c r="D32" s="41">
        <v>0</v>
      </c>
      <c r="E32" s="41">
        <v>0</v>
      </c>
      <c r="F32" s="41">
        <v>0</v>
      </c>
      <c r="G32" s="41">
        <v>0</v>
      </c>
      <c r="H32" s="41">
        <v>0</v>
      </c>
      <c r="I32" s="41">
        <v>0</v>
      </c>
      <c r="J32" s="41">
        <v>0</v>
      </c>
      <c r="K32" s="41">
        <v>0</v>
      </c>
      <c r="L32" s="41">
        <v>0</v>
      </c>
      <c r="M32" s="41">
        <v>0</v>
      </c>
      <c r="O32" s="13"/>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s="14"/>
    </row>
    <row r="33" spans="1:62" x14ac:dyDescent="0.25">
      <c r="A33" s="1" t="str">
        <f>IF(A32&lt;'Project Information'!B$11,A32+1,"")</f>
        <v/>
      </c>
      <c r="B33" s="41">
        <v>0</v>
      </c>
      <c r="C33" s="41">
        <v>0</v>
      </c>
      <c r="D33" s="41">
        <v>0</v>
      </c>
      <c r="E33" s="41">
        <v>0</v>
      </c>
      <c r="F33" s="41">
        <v>0</v>
      </c>
      <c r="G33" s="41">
        <v>0</v>
      </c>
      <c r="H33" s="41">
        <v>0</v>
      </c>
      <c r="I33" s="41">
        <v>0</v>
      </c>
      <c r="J33" s="41">
        <v>0</v>
      </c>
      <c r="K33" s="41">
        <v>0</v>
      </c>
      <c r="L33" s="41">
        <v>0</v>
      </c>
      <c r="M33" s="41">
        <v>0</v>
      </c>
      <c r="O33" s="1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s="14"/>
    </row>
    <row r="34" spans="1:62" x14ac:dyDescent="0.25">
      <c r="A34" s="1" t="str">
        <f>IF(A33&lt;'Project Information'!B$11,A33+1,"")</f>
        <v/>
      </c>
      <c r="B34" s="41">
        <v>0</v>
      </c>
      <c r="C34" s="41">
        <v>0</v>
      </c>
      <c r="D34" s="41">
        <v>0</v>
      </c>
      <c r="E34" s="41">
        <v>0</v>
      </c>
      <c r="F34" s="41">
        <v>0</v>
      </c>
      <c r="G34" s="41">
        <v>0</v>
      </c>
      <c r="H34" s="41">
        <v>0</v>
      </c>
      <c r="I34" s="41">
        <v>0</v>
      </c>
      <c r="J34" s="41">
        <v>0</v>
      </c>
      <c r="K34" s="41">
        <v>0</v>
      </c>
      <c r="L34" s="41">
        <v>0</v>
      </c>
      <c r="M34" s="41">
        <v>0</v>
      </c>
      <c r="O34" s="13"/>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s="14"/>
    </row>
    <row r="35" spans="1:62" x14ac:dyDescent="0.25">
      <c r="A35" s="1" t="str">
        <f>IF(A34&lt;'Project Information'!B$11,A34+1,"")</f>
        <v/>
      </c>
      <c r="B35" s="41">
        <v>0</v>
      </c>
      <c r="C35" s="41">
        <v>0</v>
      </c>
      <c r="D35" s="41">
        <v>0</v>
      </c>
      <c r="E35" s="41">
        <v>0</v>
      </c>
      <c r="F35" s="41">
        <v>0</v>
      </c>
      <c r="G35" s="41">
        <v>0</v>
      </c>
      <c r="H35" s="41">
        <v>0</v>
      </c>
      <c r="I35" s="41">
        <v>0</v>
      </c>
      <c r="J35" s="41">
        <v>0</v>
      </c>
      <c r="K35" s="41">
        <v>0</v>
      </c>
      <c r="L35" s="41">
        <v>0</v>
      </c>
      <c r="M35" s="41">
        <v>0</v>
      </c>
      <c r="O35" s="13"/>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s="14"/>
    </row>
    <row r="36" spans="1:62" x14ac:dyDescent="0.25">
      <c r="A36" s="1" t="str">
        <f>IF(A35&lt;'Project Information'!B$11,A35+1,"")</f>
        <v/>
      </c>
      <c r="B36" s="41">
        <v>0</v>
      </c>
      <c r="C36" s="41">
        <v>0</v>
      </c>
      <c r="D36" s="41">
        <v>0</v>
      </c>
      <c r="E36" s="41">
        <v>0</v>
      </c>
      <c r="F36" s="41">
        <v>0</v>
      </c>
      <c r="G36" s="41">
        <v>0</v>
      </c>
      <c r="H36" s="41">
        <v>0</v>
      </c>
      <c r="I36" s="41">
        <v>0</v>
      </c>
      <c r="J36" s="41">
        <v>0</v>
      </c>
      <c r="K36" s="41">
        <v>0</v>
      </c>
      <c r="L36" s="41">
        <v>0</v>
      </c>
      <c r="M36" s="41">
        <v>0</v>
      </c>
      <c r="O36" s="13"/>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s="14"/>
    </row>
    <row r="37" spans="1:62" x14ac:dyDescent="0.25">
      <c r="A37" s="1" t="str">
        <f>IF(A36&lt;'Project Information'!B$11,A36+1,"")</f>
        <v/>
      </c>
      <c r="B37" s="41">
        <v>0</v>
      </c>
      <c r="C37" s="41">
        <v>0</v>
      </c>
      <c r="D37" s="41">
        <v>0</v>
      </c>
      <c r="E37" s="41">
        <v>0</v>
      </c>
      <c r="F37" s="41">
        <v>0</v>
      </c>
      <c r="G37" s="41">
        <v>0</v>
      </c>
      <c r="H37" s="41">
        <v>0</v>
      </c>
      <c r="I37" s="41">
        <v>0</v>
      </c>
      <c r="J37" s="41">
        <v>0</v>
      </c>
      <c r="K37" s="41">
        <v>0</v>
      </c>
      <c r="L37" s="41">
        <v>0</v>
      </c>
      <c r="M37" s="41">
        <v>0</v>
      </c>
      <c r="O37" s="13"/>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s="14"/>
    </row>
    <row r="38" spans="1:62" x14ac:dyDescent="0.25">
      <c r="A38" s="1" t="str">
        <f>IF(A37&lt;'Project Information'!B$11,A37+1,"")</f>
        <v/>
      </c>
      <c r="B38" s="41">
        <v>0</v>
      </c>
      <c r="C38" s="41">
        <v>0</v>
      </c>
      <c r="D38" s="41">
        <v>0</v>
      </c>
      <c r="E38" s="41">
        <v>0</v>
      </c>
      <c r="F38" s="41">
        <v>0</v>
      </c>
      <c r="G38" s="41">
        <v>0</v>
      </c>
      <c r="H38" s="41">
        <v>0</v>
      </c>
      <c r="I38" s="41">
        <v>0</v>
      </c>
      <c r="J38" s="41">
        <v>0</v>
      </c>
      <c r="K38" s="41">
        <v>0</v>
      </c>
      <c r="L38" s="41">
        <v>0</v>
      </c>
      <c r="M38" s="41">
        <v>0</v>
      </c>
      <c r="O38" s="13"/>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s="14"/>
    </row>
    <row r="39" spans="1:62" x14ac:dyDescent="0.25">
      <c r="A39" s="1" t="str">
        <f>IF(A38&lt;'Project Information'!B$11,A38+1,"")</f>
        <v/>
      </c>
      <c r="B39" s="41">
        <v>0</v>
      </c>
      <c r="C39" s="41">
        <v>0</v>
      </c>
      <c r="D39" s="41">
        <v>0</v>
      </c>
      <c r="E39" s="41">
        <v>0</v>
      </c>
      <c r="F39" s="41">
        <v>0</v>
      </c>
      <c r="G39" s="41">
        <v>0</v>
      </c>
      <c r="H39" s="41">
        <v>0</v>
      </c>
      <c r="I39" s="41">
        <v>0</v>
      </c>
      <c r="J39" s="41">
        <v>0</v>
      </c>
      <c r="K39" s="41">
        <v>0</v>
      </c>
      <c r="L39" s="41">
        <v>0</v>
      </c>
      <c r="M39" s="41">
        <v>0</v>
      </c>
      <c r="O39" s="13"/>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s="14"/>
    </row>
    <row r="40" spans="1:62" s="5" customFormat="1" x14ac:dyDescent="0.25">
      <c r="O40" s="147"/>
      <c r="BJ40" s="148"/>
    </row>
    <row r="41" spans="1:62" s="5" customFormat="1" x14ac:dyDescent="0.25">
      <c r="O41" s="147"/>
      <c r="BJ41" s="148"/>
    </row>
    <row r="42" spans="1:62" s="5" customFormat="1" x14ac:dyDescent="0.25">
      <c r="O42" s="147"/>
      <c r="BJ42" s="148"/>
    </row>
    <row r="43" spans="1:62" s="5" customFormat="1" x14ac:dyDescent="0.25">
      <c r="O43" s="147"/>
      <c r="BJ43" s="148"/>
    </row>
    <row r="44" spans="1:62" s="5" customFormat="1" x14ac:dyDescent="0.25">
      <c r="O44" s="147"/>
      <c r="BJ44" s="148"/>
    </row>
    <row r="45" spans="1:62" s="5" customFormat="1" x14ac:dyDescent="0.25">
      <c r="O45" s="147"/>
      <c r="BJ45" s="148"/>
    </row>
    <row r="46" spans="1:62" s="5" customFormat="1" x14ac:dyDescent="0.25">
      <c r="O46" s="147"/>
      <c r="BJ46" s="148"/>
    </row>
    <row r="47" spans="1:62" s="5" customFormat="1" x14ac:dyDescent="0.25">
      <c r="O47" s="147"/>
      <c r="BJ47" s="148"/>
    </row>
    <row r="48" spans="1:62" s="5" customFormat="1" ht="15.75" thickBot="1" x14ac:dyDescent="0.3">
      <c r="O48" s="149"/>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c r="AO48" s="150"/>
      <c r="AP48" s="150"/>
      <c r="AQ48" s="150"/>
      <c r="AR48" s="150"/>
      <c r="AS48" s="150"/>
      <c r="AT48" s="150"/>
      <c r="AU48" s="150"/>
      <c r="AV48" s="150"/>
      <c r="AW48" s="150"/>
      <c r="AX48" s="150"/>
      <c r="AY48" s="150"/>
      <c r="AZ48" s="150"/>
      <c r="BA48" s="150"/>
      <c r="BB48" s="150"/>
      <c r="BC48" s="150"/>
      <c r="BD48" s="150"/>
      <c r="BE48" s="150"/>
      <c r="BF48" s="150"/>
      <c r="BG48" s="150"/>
      <c r="BH48" s="150"/>
      <c r="BI48" s="150"/>
      <c r="BJ48" s="151"/>
    </row>
    <row r="49" s="5" customFormat="1" x14ac:dyDescent="0.25"/>
    <row r="50" s="5" customFormat="1" x14ac:dyDescent="0.25"/>
    <row r="51" s="5" customFormat="1" x14ac:dyDescent="0.25"/>
    <row r="52" s="5" customFormat="1" x14ac:dyDescent="0.25"/>
    <row r="53" s="5" customFormat="1" x14ac:dyDescent="0.25"/>
    <row r="54" s="5" customFormat="1" x14ac:dyDescent="0.25"/>
    <row r="55" s="5" customFormat="1" x14ac:dyDescent="0.25"/>
    <row r="56" s="5" customFormat="1" x14ac:dyDescent="0.25"/>
    <row r="57" s="5" customFormat="1" x14ac:dyDescent="0.25"/>
    <row r="58" s="5" customFormat="1" x14ac:dyDescent="0.25"/>
    <row r="59" s="5" customFormat="1" x14ac:dyDescent="0.25"/>
    <row r="60" s="5" customFormat="1" x14ac:dyDescent="0.25"/>
    <row r="61" s="5" customFormat="1" x14ac:dyDescent="0.25"/>
    <row r="62" s="5" customFormat="1" x14ac:dyDescent="0.25"/>
    <row r="63" s="5" customFormat="1" x14ac:dyDescent="0.25"/>
    <row r="64" s="5" customFormat="1" x14ac:dyDescent="0.25"/>
    <row r="65" s="5" customFormat="1" x14ac:dyDescent="0.25"/>
    <row r="66" s="5" customFormat="1" x14ac:dyDescent="0.25"/>
    <row r="67" s="5" customFormat="1" x14ac:dyDescent="0.25"/>
    <row r="68" s="5" customFormat="1" x14ac:dyDescent="0.25"/>
    <row r="69" s="5" customFormat="1" x14ac:dyDescent="0.25"/>
    <row r="70" s="5" customFormat="1" x14ac:dyDescent="0.25"/>
    <row r="71" s="5" customFormat="1" x14ac:dyDescent="0.25"/>
    <row r="72" s="5" customFormat="1" x14ac:dyDescent="0.25"/>
    <row r="73" s="5" customFormat="1" x14ac:dyDescent="0.25"/>
    <row r="74" s="5" customFormat="1" x14ac:dyDescent="0.25"/>
    <row r="75" s="5" customFormat="1" x14ac:dyDescent="0.25"/>
    <row r="76" s="5" customFormat="1" x14ac:dyDescent="0.25"/>
    <row r="77" s="5" customFormat="1" x14ac:dyDescent="0.25"/>
    <row r="78" s="5" customFormat="1" x14ac:dyDescent="0.25"/>
    <row r="79" s="5" customFormat="1" x14ac:dyDescent="0.25"/>
    <row r="80" s="5" customFormat="1" x14ac:dyDescent="0.25"/>
    <row r="81" s="5" customFormat="1" x14ac:dyDescent="0.25"/>
    <row r="82" s="5" customFormat="1" x14ac:dyDescent="0.25"/>
    <row r="83" s="5" customFormat="1" x14ac:dyDescent="0.25"/>
    <row r="84" s="5" customFormat="1" x14ac:dyDescent="0.25"/>
    <row r="85" s="5" customFormat="1" x14ac:dyDescent="0.25"/>
    <row r="86" s="5" customFormat="1" x14ac:dyDescent="0.25"/>
    <row r="87" s="5" customFormat="1" x14ac:dyDescent="0.25"/>
    <row r="88" s="5" customFormat="1" x14ac:dyDescent="0.25"/>
    <row r="89" s="5" customFormat="1" x14ac:dyDescent="0.25"/>
    <row r="90" s="5" customFormat="1" x14ac:dyDescent="0.25"/>
    <row r="91" s="5" customFormat="1" x14ac:dyDescent="0.25"/>
    <row r="92" s="5" customFormat="1" x14ac:dyDescent="0.25"/>
    <row r="93" s="5" customFormat="1" x14ac:dyDescent="0.25"/>
    <row r="94" s="5" customFormat="1" x14ac:dyDescent="0.25"/>
    <row r="95" s="5" customFormat="1" x14ac:dyDescent="0.25"/>
    <row r="96" s="5" customFormat="1" x14ac:dyDescent="0.25"/>
    <row r="97" s="5" customFormat="1" x14ac:dyDescent="0.25"/>
    <row r="98" s="5" customFormat="1" x14ac:dyDescent="0.25"/>
    <row r="99" s="5" customFormat="1" x14ac:dyDescent="0.25"/>
    <row r="100" s="5" customFormat="1" x14ac:dyDescent="0.25"/>
    <row r="101" s="5" customFormat="1" x14ac:dyDescent="0.25"/>
    <row r="102" s="5" customFormat="1" x14ac:dyDescent="0.25"/>
    <row r="103" s="5" customFormat="1" x14ac:dyDescent="0.25"/>
    <row r="104" s="5" customFormat="1" x14ac:dyDescent="0.25"/>
    <row r="105" s="5" customFormat="1" x14ac:dyDescent="0.25"/>
    <row r="106" s="5" customFormat="1" x14ac:dyDescent="0.25"/>
    <row r="107" s="5" customFormat="1" x14ac:dyDescent="0.25"/>
    <row r="108" s="5" customFormat="1" x14ac:dyDescent="0.25"/>
    <row r="109" s="5" customFormat="1" x14ac:dyDescent="0.25"/>
    <row r="110" s="5" customFormat="1" x14ac:dyDescent="0.25"/>
    <row r="111" s="5" customFormat="1" x14ac:dyDescent="0.25"/>
    <row r="112" s="5" customFormat="1" x14ac:dyDescent="0.25"/>
    <row r="113" s="5" customFormat="1" x14ac:dyDescent="0.25"/>
    <row r="114" s="5" customFormat="1" x14ac:dyDescent="0.25"/>
    <row r="115" s="5" customFormat="1" x14ac:dyDescent="0.25"/>
    <row r="116" s="5" customFormat="1" x14ac:dyDescent="0.25"/>
    <row r="117" s="5" customFormat="1" x14ac:dyDescent="0.25"/>
    <row r="118" s="5" customFormat="1" x14ac:dyDescent="0.25"/>
    <row r="119" s="5" customFormat="1" x14ac:dyDescent="0.25"/>
    <row r="120" s="5" customFormat="1" x14ac:dyDescent="0.25"/>
    <row r="121" s="5" customFormat="1" x14ac:dyDescent="0.25"/>
    <row r="122" s="5" customFormat="1" x14ac:dyDescent="0.25"/>
    <row r="123" s="5" customFormat="1" x14ac:dyDescent="0.25"/>
    <row r="124" s="5" customFormat="1" x14ac:dyDescent="0.25"/>
    <row r="125" s="5" customFormat="1" x14ac:dyDescent="0.25"/>
    <row r="126" s="5" customFormat="1" x14ac:dyDescent="0.25"/>
    <row r="127" s="5" customFormat="1" x14ac:dyDescent="0.25"/>
    <row r="128" s="5" customFormat="1" x14ac:dyDescent="0.25"/>
    <row r="129" s="5" customFormat="1" x14ac:dyDescent="0.25"/>
    <row r="130" s="5" customFormat="1" x14ac:dyDescent="0.25"/>
    <row r="131" s="5" customFormat="1" x14ac:dyDescent="0.25"/>
    <row r="132" s="5" customFormat="1" x14ac:dyDescent="0.25"/>
    <row r="133" s="5" customFormat="1" x14ac:dyDescent="0.25"/>
    <row r="134" s="5" customFormat="1" x14ac:dyDescent="0.25"/>
    <row r="135" s="5" customFormat="1" x14ac:dyDescent="0.25"/>
    <row r="136" s="5" customFormat="1" x14ac:dyDescent="0.25"/>
    <row r="137" s="5" customFormat="1" x14ac:dyDescent="0.25"/>
    <row r="138" s="5" customFormat="1" x14ac:dyDescent="0.25"/>
    <row r="139" s="5" customFormat="1" x14ac:dyDescent="0.25"/>
    <row r="140" s="5" customFormat="1" x14ac:dyDescent="0.25"/>
    <row r="141" s="5" customFormat="1" x14ac:dyDescent="0.25"/>
    <row r="142" s="5" customFormat="1" x14ac:dyDescent="0.25"/>
    <row r="143" s="5" customFormat="1" x14ac:dyDescent="0.25"/>
    <row r="144" s="5" customFormat="1" x14ac:dyDescent="0.25"/>
    <row r="145" s="5" customFormat="1" x14ac:dyDescent="0.25"/>
    <row r="146" s="5" customFormat="1" x14ac:dyDescent="0.25"/>
    <row r="147" s="5" customFormat="1" x14ac:dyDescent="0.25"/>
    <row r="148" s="5" customFormat="1" x14ac:dyDescent="0.25"/>
    <row r="149" s="5" customFormat="1" x14ac:dyDescent="0.25"/>
    <row r="150" s="5" customFormat="1" x14ac:dyDescent="0.25"/>
    <row r="151" s="5" customFormat="1" x14ac:dyDescent="0.25"/>
    <row r="152" s="5" customFormat="1" x14ac:dyDescent="0.25"/>
    <row r="153" s="5" customFormat="1" x14ac:dyDescent="0.25"/>
    <row r="154" s="5" customFormat="1" x14ac:dyDescent="0.25"/>
    <row r="155" s="5" customFormat="1" x14ac:dyDescent="0.25"/>
    <row r="156" s="5" customFormat="1" x14ac:dyDescent="0.25"/>
    <row r="157" s="5" customFormat="1" x14ac:dyDescent="0.25"/>
    <row r="158" s="5" customFormat="1" x14ac:dyDescent="0.25"/>
    <row r="159" s="5" customFormat="1" x14ac:dyDescent="0.25"/>
    <row r="160"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sheetData>
  <mergeCells count="6">
    <mergeCell ref="L8:M8"/>
    <mergeCell ref="B8:C8"/>
    <mergeCell ref="D8:E8"/>
    <mergeCell ref="F8:G8"/>
    <mergeCell ref="H8:I8"/>
    <mergeCell ref="J8:K8"/>
  </mergeCells>
  <conditionalFormatting sqref="B10:M39">
    <cfRule type="expression" dxfId="20" priority="1">
      <formula>$A10=""</formula>
    </cfRule>
  </conditionalFormatting>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29D9F-FC46-4D85-90F6-7D1B96D1D401}">
  <sheetPr>
    <tabColor theme="9" tint="0.39997558519241921"/>
  </sheetPr>
  <dimension ref="A1:AZ48"/>
  <sheetViews>
    <sheetView zoomScale="115" zoomScaleNormal="115" workbookViewId="0">
      <selection activeCell="B12" sqref="B12"/>
    </sheetView>
  </sheetViews>
  <sheetFormatPr defaultColWidth="9.140625" defaultRowHeight="15" x14ac:dyDescent="0.25"/>
  <cols>
    <col min="1" max="1" width="28.85546875" style="5" customWidth="1"/>
    <col min="2" max="2" width="39.5703125" style="5" bestFit="1" customWidth="1"/>
    <col min="3" max="3" width="30.140625" style="5" customWidth="1"/>
    <col min="4" max="16384" width="9.140625" style="5"/>
  </cols>
  <sheetData>
    <row r="1" spans="1:52" ht="20.25" thickBot="1" x14ac:dyDescent="0.35">
      <c r="A1" s="96" t="s">
        <v>219</v>
      </c>
    </row>
    <row r="2" spans="1:52" ht="15.75" thickTop="1" x14ac:dyDescent="0.25">
      <c r="A2" s="153" t="s">
        <v>181</v>
      </c>
      <c r="B2" s="152"/>
      <c r="C2" s="152"/>
      <c r="D2" s="152"/>
      <c r="E2" s="152"/>
      <c r="F2" s="152"/>
      <c r="G2" s="152"/>
      <c r="H2" s="152"/>
      <c r="I2" s="152"/>
    </row>
    <row r="3" spans="1:52" x14ac:dyDescent="0.25">
      <c r="A3" s="38" t="s">
        <v>205</v>
      </c>
    </row>
    <row r="4" spans="1:52" x14ac:dyDescent="0.25">
      <c r="A4" s="119">
        <v>0</v>
      </c>
      <c r="B4" s="5" t="s">
        <v>331</v>
      </c>
    </row>
    <row r="5" spans="1:52" x14ac:dyDescent="0.25">
      <c r="A5" s="120">
        <v>0</v>
      </c>
      <c r="B5" s="5" t="s">
        <v>352</v>
      </c>
    </row>
    <row r="6" spans="1:52" x14ac:dyDescent="0.25">
      <c r="A6" s="29" t="s">
        <v>205</v>
      </c>
    </row>
    <row r="7" spans="1:52" ht="15.75" thickBot="1" x14ac:dyDescent="0.3">
      <c r="A7" s="97" t="s">
        <v>256</v>
      </c>
    </row>
    <row r="8" spans="1:52" x14ac:dyDescent="0.25">
      <c r="A8" s="115" t="s">
        <v>4</v>
      </c>
      <c r="B8" s="113" t="s">
        <v>157</v>
      </c>
      <c r="C8" s="108" t="s">
        <v>353</v>
      </c>
      <c r="E8" s="10" t="s">
        <v>161</v>
      </c>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2"/>
    </row>
    <row r="9" spans="1:52" x14ac:dyDescent="0.25">
      <c r="A9" s="30">
        <f>'Project Information'!B7</f>
        <v>2026</v>
      </c>
      <c r="B9" s="22">
        <v>2958600</v>
      </c>
      <c r="C9" s="8">
        <f>B9/(1+$A$4)^(A9-Overview!$B$22)</f>
        <v>2958600</v>
      </c>
      <c r="E9" s="13"/>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s="14"/>
    </row>
    <row r="10" spans="1:52" x14ac:dyDescent="0.25">
      <c r="A10" s="1">
        <f>IF(A9&lt;$A$9+'Project Information'!$B$8-1,A9+1,"")</f>
        <v>2027</v>
      </c>
      <c r="B10" s="22">
        <v>13313696</v>
      </c>
      <c r="C10" s="8">
        <f>IFERROR(B10/(1+$A$4)^(A10-Overview!$B$22),0)</f>
        <v>13313696</v>
      </c>
      <c r="E10" s="13"/>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s="14"/>
    </row>
    <row r="11" spans="1:52" x14ac:dyDescent="0.25">
      <c r="A11" s="1">
        <f>IF(A10&lt;$A$9+'Project Information'!$B$8-1,A10+1,"")</f>
        <v>2028</v>
      </c>
      <c r="B11" s="22">
        <v>17020934</v>
      </c>
      <c r="C11" s="8">
        <f>IFERROR(B11/(1+$A$4)^(A11-Overview!$B$22),0)</f>
        <v>17020934</v>
      </c>
      <c r="E11" s="13"/>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s="14"/>
    </row>
    <row r="12" spans="1:52" x14ac:dyDescent="0.25">
      <c r="A12" s="1" t="str">
        <f>IF(A11&lt;$A$9+'Project Information'!$B$8-1,A11+1,"")</f>
        <v/>
      </c>
      <c r="B12" s="22">
        <v>0</v>
      </c>
      <c r="C12" s="8">
        <f>IFERROR(B12/(1+$A$4)^(A12-Overview!$B$22),0)</f>
        <v>0</v>
      </c>
      <c r="E12" s="13"/>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4"/>
    </row>
    <row r="13" spans="1:52" x14ac:dyDescent="0.25">
      <c r="A13" s="1" t="str">
        <f>IF(A12&lt;$A$9+'Project Information'!$B$8-1,A12+1,"")</f>
        <v/>
      </c>
      <c r="B13" s="22">
        <v>0</v>
      </c>
      <c r="C13" s="8">
        <f>IFERROR(B13/(1+$A$4)^(A13-Overview!$B$22),0)</f>
        <v>0</v>
      </c>
      <c r="E13" s="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4"/>
    </row>
    <row r="14" spans="1:52" x14ac:dyDescent="0.25">
      <c r="A14" s="1" t="str">
        <f>IF(A13&lt;$A$9+'Project Information'!$B$8-1,A13+1,"")</f>
        <v/>
      </c>
      <c r="B14" s="22">
        <v>0</v>
      </c>
      <c r="C14" s="8">
        <f>IFERROR(B14/(1+$A$4)^(A14-Overview!$B$22),0)</f>
        <v>0</v>
      </c>
      <c r="E14" s="13"/>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4"/>
    </row>
    <row r="15" spans="1:52" x14ac:dyDescent="0.25">
      <c r="A15" s="1" t="str">
        <f>IF(A14&lt;$A$9+'Project Information'!$B$8-1,A14+1,"")</f>
        <v/>
      </c>
      <c r="B15" s="22">
        <v>0</v>
      </c>
      <c r="C15" s="8">
        <f>IFERROR(B15/(1+$A$4)^(A15-Overview!$B$22),0)</f>
        <v>0</v>
      </c>
      <c r="E15" s="1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25">
      <c r="A16" s="1" t="str">
        <f>IF(A15&lt;$A$9+'Project Information'!$B$8-1,A15+1,"")</f>
        <v/>
      </c>
      <c r="B16" s="22">
        <v>0</v>
      </c>
      <c r="C16" s="8">
        <f>IFERROR(B16/(1+$A$4)^(A16-Overview!$B$22),0)</f>
        <v>0</v>
      </c>
      <c r="E16" s="1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25">
      <c r="A17" s="1" t="str">
        <f>IF(A16&lt;$A$9+'Project Information'!$B$8-1,A16+1,"")</f>
        <v/>
      </c>
      <c r="B17" s="22">
        <v>0</v>
      </c>
      <c r="C17" s="8">
        <f>IFERROR(B17/(1+$A$4)^(A17-Overview!$B$22),0)</f>
        <v>0</v>
      </c>
      <c r="E17" s="13"/>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25">
      <c r="A18" s="1" t="str">
        <f>IF(A17&lt;$A$9+'Project Information'!$B$8-1,A17+1,"")</f>
        <v/>
      </c>
      <c r="B18" s="22">
        <v>0</v>
      </c>
      <c r="C18" s="8">
        <f>IFERROR(B18/(1+$A$4)^(A18-Overview!$B$22),0)</f>
        <v>0</v>
      </c>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25">
      <c r="A19" s="1" t="str">
        <f>IF(A18&lt;$A$9+'Project Information'!$B$8-1,A18+1,"")</f>
        <v/>
      </c>
      <c r="B19" s="22">
        <v>0</v>
      </c>
      <c r="C19" s="8">
        <f>IFERROR(B19/(1+$A$4)^(A19-Overview!$B$22),0)</f>
        <v>0</v>
      </c>
      <c r="E19" s="13"/>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25">
      <c r="A20" s="1" t="str">
        <f>IF(A19&lt;$A$9+'Project Information'!$B$8-1,A19+1,"")</f>
        <v/>
      </c>
      <c r="B20" s="22">
        <v>0</v>
      </c>
      <c r="C20" s="8">
        <f>IFERROR(B20/(1+$A$4)^(A20-Overview!$B$22),0)</f>
        <v>0</v>
      </c>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25">
      <c r="A21" s="1" t="str">
        <f>IF(A20&lt;$A$9+'Project Information'!$B$8-1,A20+1,"")</f>
        <v/>
      </c>
      <c r="B21" s="22">
        <v>0</v>
      </c>
      <c r="C21" s="8">
        <f>IFERROR(B21/(1+$A$4)^(A21-Overview!$B$22),0)</f>
        <v>0</v>
      </c>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25">
      <c r="A22" s="1" t="str">
        <f>IF(A21&lt;$A$9+'Project Information'!$B$8-1,A21+1,"")</f>
        <v/>
      </c>
      <c r="B22" s="22">
        <v>0</v>
      </c>
      <c r="C22" s="8">
        <f>IFERROR(B22/(1+$A$4)^(A22-Overview!$B$22),0)</f>
        <v>0</v>
      </c>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25">
      <c r="A23" s="1" t="str">
        <f>IF(A22&lt;$A$9+'Project Information'!$B$8-1,A22+1,"")</f>
        <v/>
      </c>
      <c r="B23" s="22">
        <v>0</v>
      </c>
      <c r="C23" s="8">
        <f>IFERROR(B23/(1+$A$4)^(A23-Overview!$B$22),0)</f>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25">
      <c r="A24" s="31"/>
      <c r="B24" s="32"/>
      <c r="C24" s="33"/>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25">
      <c r="B25" s="28"/>
      <c r="C25" s="29"/>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25">
      <c r="B26" s="28"/>
      <c r="C26" s="29"/>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25">
      <c r="B27" s="28"/>
      <c r="C27" s="29"/>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25">
      <c r="B28" s="28"/>
      <c r="C28" s="29"/>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25">
      <c r="B29" s="28"/>
      <c r="C29" s="29"/>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25">
      <c r="B30" s="28"/>
      <c r="C30" s="29"/>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25">
      <c r="B31" s="28"/>
      <c r="C31" s="29"/>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25">
      <c r="B32" s="28"/>
      <c r="C32" s="29"/>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2:52" x14ac:dyDescent="0.25">
      <c r="B33" s="28"/>
      <c r="C33" s="29"/>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2:52" x14ac:dyDescent="0.25">
      <c r="B34" s="28"/>
      <c r="C34" s="29"/>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2:52" x14ac:dyDescent="0.25">
      <c r="B35" s="28"/>
      <c r="C35" s="29"/>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2:52" x14ac:dyDescent="0.25">
      <c r="B36" s="28"/>
      <c r="C36" s="29"/>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2:52" x14ac:dyDescent="0.25">
      <c r="B37" s="28"/>
      <c r="C37" s="29"/>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2:52" x14ac:dyDescent="0.25">
      <c r="B38" s="28"/>
      <c r="C38" s="29"/>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2:52" x14ac:dyDescent="0.25">
      <c r="B39" s="28"/>
      <c r="C39" s="29"/>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2:52" x14ac:dyDescent="0.25">
      <c r="B40" s="28"/>
      <c r="C40" s="29"/>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2:52" x14ac:dyDescent="0.25">
      <c r="B41" s="28"/>
      <c r="C41" s="29"/>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2:52" x14ac:dyDescent="0.25">
      <c r="B42" s="28"/>
      <c r="C42" s="29"/>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2:52" x14ac:dyDescent="0.25">
      <c r="B43" s="28"/>
      <c r="C43" s="29"/>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2:52" x14ac:dyDescent="0.25">
      <c r="B44" s="28"/>
      <c r="C44" s="29"/>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2:52" x14ac:dyDescent="0.25">
      <c r="B45" s="28"/>
      <c r="C45" s="29"/>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2:52" x14ac:dyDescent="0.25">
      <c r="B46" s="28"/>
      <c r="C46" s="29"/>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2:52" x14ac:dyDescent="0.25">
      <c r="B47" s="28"/>
      <c r="C47" s="29"/>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2:52" ht="15.75" thickBot="1" x14ac:dyDescent="0.3">
      <c r="B48" s="28"/>
      <c r="C48" s="29"/>
      <c r="E48" s="15"/>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7"/>
    </row>
  </sheetData>
  <conditionalFormatting sqref="B9:B23">
    <cfRule type="expression" dxfId="19" priority="1">
      <formula>A9=""</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5E38E-8165-48A5-9087-43035F106B2B}">
  <sheetPr>
    <tabColor theme="9" tint="0.39997558519241921"/>
  </sheetPr>
  <dimension ref="A1:BB97"/>
  <sheetViews>
    <sheetView topLeftCell="A8" zoomScaleNormal="100" workbookViewId="0">
      <selection activeCell="O30" sqref="O30"/>
    </sheetView>
  </sheetViews>
  <sheetFormatPr defaultColWidth="9.140625" defaultRowHeight="15" x14ac:dyDescent="0.25"/>
  <cols>
    <col min="1" max="1" width="28.5703125" style="5" customWidth="1"/>
    <col min="2" max="2" width="42" style="5" customWidth="1"/>
    <col min="3" max="3" width="37.85546875" style="5" customWidth="1"/>
    <col min="4" max="4" width="46.5703125" style="5" customWidth="1"/>
    <col min="5" max="9" width="9.140625" style="5"/>
    <col min="10" max="12" width="12.7109375" style="5" bestFit="1" customWidth="1"/>
    <col min="13" max="16384" width="9.140625" style="5"/>
  </cols>
  <sheetData>
    <row r="1" spans="1:54" ht="20.25" thickBot="1" x14ac:dyDescent="0.35">
      <c r="A1" s="96" t="s">
        <v>222</v>
      </c>
    </row>
    <row r="2" spans="1:54" ht="15.75" thickTop="1" x14ac:dyDescent="0.25">
      <c r="A2" s="153" t="s">
        <v>354</v>
      </c>
      <c r="B2" s="152"/>
      <c r="C2" s="152"/>
      <c r="D2" s="152"/>
      <c r="E2" s="152"/>
    </row>
    <row r="3" spans="1:54" x14ac:dyDescent="0.25">
      <c r="A3" s="5" t="s">
        <v>205</v>
      </c>
    </row>
    <row r="4" spans="1:54" x14ac:dyDescent="0.25">
      <c r="A4" s="153" t="s">
        <v>316</v>
      </c>
      <c r="B4" s="153"/>
      <c r="C4" s="153"/>
      <c r="D4" s="153"/>
      <c r="E4" s="153"/>
      <c r="F4" s="153"/>
    </row>
    <row r="5" spans="1:54" x14ac:dyDescent="0.25">
      <c r="A5" s="5" t="s">
        <v>205</v>
      </c>
    </row>
    <row r="6" spans="1:54" ht="15.75" thickBot="1" x14ac:dyDescent="0.3">
      <c r="A6" s="97" t="s">
        <v>255</v>
      </c>
    </row>
    <row r="7" spans="1:54" x14ac:dyDescent="0.25">
      <c r="A7" s="107" t="s">
        <v>4</v>
      </c>
      <c r="B7" s="108" t="s">
        <v>171</v>
      </c>
      <c r="C7" s="108" t="s">
        <v>172</v>
      </c>
      <c r="D7" s="108" t="s">
        <v>163</v>
      </c>
      <c r="G7" s="10" t="s">
        <v>161</v>
      </c>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2"/>
    </row>
    <row r="8" spans="1:54" x14ac:dyDescent="0.25">
      <c r="A8" s="6">
        <f>'Project Information'!$B$9</f>
        <v>2029</v>
      </c>
      <c r="B8" s="277">
        <f t="shared" ref="B8:B27" si="0">J16</f>
        <v>76234.221999999994</v>
      </c>
      <c r="C8" s="278">
        <f t="shared" ref="C8:C27" si="1">K16</f>
        <v>152468.44399999999</v>
      </c>
      <c r="D8" s="26">
        <f>C8-B8</f>
        <v>76234.221999999994</v>
      </c>
      <c r="G8" s="13"/>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s="14"/>
    </row>
    <row r="9" spans="1:54" ht="15.75" x14ac:dyDescent="0.25">
      <c r="A9" s="1">
        <f>IF(A8&lt;'Project Information'!B$11,A8+1,"")</f>
        <v>2030</v>
      </c>
      <c r="B9" s="278">
        <f t="shared" si="0"/>
        <v>78521.248659999997</v>
      </c>
      <c r="C9" s="278">
        <f t="shared" si="1"/>
        <v>157042.49731999999</v>
      </c>
      <c r="D9" s="8">
        <f t="shared" ref="D9:D37" si="2">C9-B9</f>
        <v>78521.248659999997</v>
      </c>
      <c r="G9" s="13"/>
      <c r="H9" s="323" t="s">
        <v>519</v>
      </c>
      <c r="I9" s="324"/>
      <c r="J9" s="324"/>
      <c r="K9" s="324"/>
      <c r="L9" s="325"/>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s="14"/>
    </row>
    <row r="10" spans="1:54" ht="47.25" x14ac:dyDescent="0.25">
      <c r="A10" s="1">
        <f>IF(A9&lt;'Project Information'!B$11,A9+1,"")</f>
        <v>2031</v>
      </c>
      <c r="B10" s="278">
        <f t="shared" si="0"/>
        <v>80876.886119799994</v>
      </c>
      <c r="C10" s="278">
        <f t="shared" si="1"/>
        <v>161753.77223959999</v>
      </c>
      <c r="D10" s="8">
        <f t="shared" si="2"/>
        <v>80876.886119799994</v>
      </c>
      <c r="G10" s="13"/>
      <c r="H10" s="246" t="s">
        <v>520</v>
      </c>
      <c r="I10" s="247" t="s">
        <v>4</v>
      </c>
      <c r="J10" s="246" t="s">
        <v>521</v>
      </c>
      <c r="K10" s="246" t="s">
        <v>522</v>
      </c>
      <c r="L10" s="248" t="s">
        <v>523</v>
      </c>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s="14"/>
    </row>
    <row r="11" spans="1:54" ht="15.75" x14ac:dyDescent="0.25">
      <c r="A11" s="1">
        <f>IF(A10&lt;'Project Information'!B$11,A10+1,"")</f>
        <v>2032</v>
      </c>
      <c r="B11" s="278">
        <f t="shared" si="0"/>
        <v>83303.192703394001</v>
      </c>
      <c r="C11" s="278">
        <f t="shared" si="1"/>
        <v>166606.385406788</v>
      </c>
      <c r="D11" s="8">
        <f t="shared" si="2"/>
        <v>83303.192703394001</v>
      </c>
      <c r="G11" s="13"/>
      <c r="H11" s="249"/>
      <c r="I11" s="249">
        <v>2024</v>
      </c>
      <c r="J11" s="250"/>
      <c r="K11" s="251"/>
      <c r="L11" s="252"/>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s="14"/>
    </row>
    <row r="12" spans="1:54" ht="15.75" x14ac:dyDescent="0.25">
      <c r="A12" s="1">
        <f>IF(A11&lt;'Project Information'!B$11,A11+1,"")</f>
        <v>2033</v>
      </c>
      <c r="B12" s="278">
        <f t="shared" si="0"/>
        <v>85802.288484495817</v>
      </c>
      <c r="C12" s="278">
        <f t="shared" si="1"/>
        <v>171604.57696899163</v>
      </c>
      <c r="D12" s="8">
        <f t="shared" si="2"/>
        <v>85802.288484495817</v>
      </c>
      <c r="G12" s="13"/>
      <c r="H12" s="249"/>
      <c r="I12" s="249">
        <v>2025</v>
      </c>
      <c r="J12" s="250"/>
      <c r="K12" s="250"/>
      <c r="L12" s="25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s="14"/>
    </row>
    <row r="13" spans="1:54" ht="15.75" x14ac:dyDescent="0.25">
      <c r="A13" s="1">
        <f>IF(A12&lt;'Project Information'!B$11,A12+1,"")</f>
        <v>2034</v>
      </c>
      <c r="B13" s="278">
        <f t="shared" si="0"/>
        <v>88376.35713903069</v>
      </c>
      <c r="C13" s="278">
        <f t="shared" si="1"/>
        <v>176752.71427806138</v>
      </c>
      <c r="D13" s="8">
        <f t="shared" si="2"/>
        <v>88376.35713903069</v>
      </c>
      <c r="G13" s="13"/>
      <c r="H13" s="249"/>
      <c r="I13" s="249">
        <v>2026</v>
      </c>
      <c r="J13" s="250"/>
      <c r="K13" s="250"/>
      <c r="L13" s="252"/>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s="14"/>
    </row>
    <row r="14" spans="1:54" ht="15.75" x14ac:dyDescent="0.25">
      <c r="A14" s="1">
        <f>IF(A13&lt;'Project Information'!B$11,A13+1,"")</f>
        <v>2035</v>
      </c>
      <c r="B14" s="278">
        <f t="shared" si="0"/>
        <v>91027.647853201619</v>
      </c>
      <c r="C14" s="278">
        <f t="shared" si="1"/>
        <v>182055.29570640324</v>
      </c>
      <c r="D14" s="8">
        <f t="shared" si="2"/>
        <v>91027.647853201619</v>
      </c>
      <c r="G14" s="13"/>
      <c r="H14" s="249"/>
      <c r="I14" s="249">
        <v>2027</v>
      </c>
      <c r="J14" s="250"/>
      <c r="K14" s="250"/>
      <c r="L14" s="252"/>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s="14"/>
    </row>
    <row r="15" spans="1:54" ht="15.75" x14ac:dyDescent="0.25">
      <c r="A15" s="1">
        <f>IF(A14&lt;'Project Information'!B$11,A14+1,"")</f>
        <v>2036</v>
      </c>
      <c r="B15" s="278">
        <f t="shared" si="0"/>
        <v>93758.477288797672</v>
      </c>
      <c r="C15" s="278">
        <f t="shared" si="1"/>
        <v>187516.95457759534</v>
      </c>
      <c r="D15" s="8">
        <f t="shared" si="2"/>
        <v>93758.477288797672</v>
      </c>
      <c r="G15" s="13"/>
      <c r="H15" s="249"/>
      <c r="I15" s="249">
        <v>2028</v>
      </c>
      <c r="J15" s="250"/>
      <c r="K15" s="250"/>
      <c r="L15" s="252"/>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s="14"/>
    </row>
    <row r="16" spans="1:54" ht="15.75" x14ac:dyDescent="0.25">
      <c r="A16" s="1">
        <f>IF(A15&lt;'Project Information'!B$11,A15+1,"")</f>
        <v>2037</v>
      </c>
      <c r="B16" s="278">
        <f t="shared" si="0"/>
        <v>96571.23160746161</v>
      </c>
      <c r="C16" s="278">
        <f t="shared" si="1"/>
        <v>193142.46321492322</v>
      </c>
      <c r="D16" s="8">
        <f t="shared" si="2"/>
        <v>96571.23160746161</v>
      </c>
      <c r="G16" s="13"/>
      <c r="H16" s="249">
        <v>1</v>
      </c>
      <c r="I16" s="249">
        <v>2029</v>
      </c>
      <c r="J16" s="253">
        <f>('Parameter Values'!I16+'Parameter Values'!I17+'Parameter Values'!I18+'Parameter Values'!I19+'Parameter Values'!I20+'Parameter Values'!I21)*('Parameter Values'!I10+'Parameter Values'!I13)</f>
        <v>76234.221999999994</v>
      </c>
      <c r="K16" s="250">
        <f>('Parameter Values'!I16+'Parameter Values'!I17+'Parameter Values'!I18+'Parameter Values'!I19+'Parameter Values'!I20+'Parameter Values'!I21)*('Parameter Values'!J10+'Parameter Values'!J13)</f>
        <v>152468.44399999999</v>
      </c>
      <c r="L16" s="252">
        <f t="shared" ref="L16:L35" si="3">K16-J16</f>
        <v>76234.221999999994</v>
      </c>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s="14"/>
    </row>
    <row r="17" spans="1:54" ht="15.75" x14ac:dyDescent="0.25">
      <c r="A17" s="1">
        <f>IF(A16&lt;'Project Information'!B$11,A16+1,"")</f>
        <v>2038</v>
      </c>
      <c r="B17" s="278">
        <f t="shared" si="0"/>
        <v>99468.368555685462</v>
      </c>
      <c r="C17" s="278">
        <f t="shared" si="1"/>
        <v>198936.73711137092</v>
      </c>
      <c r="D17" s="8">
        <f t="shared" si="2"/>
        <v>99468.368555685462</v>
      </c>
      <c r="G17" s="13"/>
      <c r="H17" s="249">
        <v>2</v>
      </c>
      <c r="I17" s="249">
        <v>2030</v>
      </c>
      <c r="J17" s="250">
        <f t="shared" ref="J17:K32" si="4">J16*1.03</f>
        <v>78521.248659999997</v>
      </c>
      <c r="K17" s="250">
        <f t="shared" si="4"/>
        <v>157042.49731999999</v>
      </c>
      <c r="L17" s="252">
        <f t="shared" si="3"/>
        <v>78521.248659999997</v>
      </c>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s="14"/>
    </row>
    <row r="18" spans="1:54" ht="15.75" x14ac:dyDescent="0.25">
      <c r="A18" s="1">
        <f>IF(A17&lt;'Project Information'!B$11,A17+1,"")</f>
        <v>2039</v>
      </c>
      <c r="B18" s="278">
        <f t="shared" si="0"/>
        <v>102452.41961235603</v>
      </c>
      <c r="C18" s="278">
        <f t="shared" si="1"/>
        <v>204904.83922471205</v>
      </c>
      <c r="D18" s="8">
        <f t="shared" si="2"/>
        <v>102452.41961235603</v>
      </c>
      <c r="G18" s="13"/>
      <c r="H18" s="249">
        <v>3</v>
      </c>
      <c r="I18" s="249">
        <v>2031</v>
      </c>
      <c r="J18" s="250">
        <f t="shared" si="4"/>
        <v>80876.886119799994</v>
      </c>
      <c r="K18" s="250">
        <f t="shared" si="4"/>
        <v>161753.77223959999</v>
      </c>
      <c r="L18" s="252">
        <f t="shared" si="3"/>
        <v>80876.886119799994</v>
      </c>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s="14"/>
    </row>
    <row r="19" spans="1:54" ht="15.75" x14ac:dyDescent="0.25">
      <c r="A19" s="1">
        <f>IF(A18&lt;'Project Information'!B$11,A18+1,"")</f>
        <v>2040</v>
      </c>
      <c r="B19" s="278">
        <f t="shared" si="0"/>
        <v>105525.9922007267</v>
      </c>
      <c r="C19" s="278">
        <f t="shared" si="1"/>
        <v>211051.9844014534</v>
      </c>
      <c r="D19" s="8">
        <f t="shared" si="2"/>
        <v>105525.9922007267</v>
      </c>
      <c r="G19" s="13"/>
      <c r="H19" s="249">
        <v>4</v>
      </c>
      <c r="I19" s="249">
        <v>2032</v>
      </c>
      <c r="J19" s="250">
        <f t="shared" si="4"/>
        <v>83303.192703394001</v>
      </c>
      <c r="K19" s="250">
        <f t="shared" si="4"/>
        <v>166606.385406788</v>
      </c>
      <c r="L19" s="252">
        <f t="shared" si="3"/>
        <v>83303.192703394001</v>
      </c>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s="14"/>
    </row>
    <row r="20" spans="1:54" ht="15.75" x14ac:dyDescent="0.25">
      <c r="A20" s="1">
        <f>IF(A19&lt;'Project Information'!B$11,A19+1,"")</f>
        <v>2041</v>
      </c>
      <c r="B20" s="278">
        <f t="shared" si="0"/>
        <v>108691.77196674851</v>
      </c>
      <c r="C20" s="278">
        <f t="shared" si="1"/>
        <v>217383.54393349701</v>
      </c>
      <c r="D20" s="8">
        <f t="shared" si="2"/>
        <v>108691.77196674851</v>
      </c>
      <c r="G20" s="13"/>
      <c r="H20" s="249">
        <v>5</v>
      </c>
      <c r="I20" s="249">
        <v>2033</v>
      </c>
      <c r="J20" s="250">
        <f t="shared" si="4"/>
        <v>85802.288484495817</v>
      </c>
      <c r="K20" s="250">
        <f t="shared" si="4"/>
        <v>171604.57696899163</v>
      </c>
      <c r="L20" s="252">
        <f t="shared" si="3"/>
        <v>85802.288484495817</v>
      </c>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s="14"/>
    </row>
    <row r="21" spans="1:54" ht="15.75" x14ac:dyDescent="0.25">
      <c r="A21" s="1">
        <f>IF(A20&lt;'Project Information'!B$11,A20+1,"")</f>
        <v>2042</v>
      </c>
      <c r="B21" s="278">
        <f t="shared" si="0"/>
        <v>111952.52512575097</v>
      </c>
      <c r="C21" s="278">
        <f t="shared" si="1"/>
        <v>223905.05025150193</v>
      </c>
      <c r="D21" s="8">
        <f t="shared" si="2"/>
        <v>111952.52512575097</v>
      </c>
      <c r="G21" s="13"/>
      <c r="H21" s="249">
        <v>6</v>
      </c>
      <c r="I21" s="249">
        <v>2034</v>
      </c>
      <c r="J21" s="250">
        <f t="shared" si="4"/>
        <v>88376.35713903069</v>
      </c>
      <c r="K21" s="250">
        <f t="shared" si="4"/>
        <v>176752.71427806138</v>
      </c>
      <c r="L21" s="252">
        <f t="shared" si="3"/>
        <v>88376.35713903069</v>
      </c>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s="14"/>
    </row>
    <row r="22" spans="1:54" ht="15.75" x14ac:dyDescent="0.25">
      <c r="A22" s="1">
        <f>IF(A21&lt;'Project Information'!B$11,A21+1,"")</f>
        <v>2043</v>
      </c>
      <c r="B22" s="278">
        <f t="shared" si="0"/>
        <v>115311.1008795235</v>
      </c>
      <c r="C22" s="278">
        <f t="shared" si="1"/>
        <v>230622.20175904699</v>
      </c>
      <c r="D22" s="8">
        <f t="shared" si="2"/>
        <v>115311.1008795235</v>
      </c>
      <c r="G22" s="13"/>
      <c r="H22" s="249">
        <v>7</v>
      </c>
      <c r="I22" s="249">
        <v>2035</v>
      </c>
      <c r="J22" s="250">
        <f t="shared" si="4"/>
        <v>91027.647853201619</v>
      </c>
      <c r="K22" s="250">
        <f t="shared" si="4"/>
        <v>182055.29570640324</v>
      </c>
      <c r="L22" s="252">
        <f t="shared" si="3"/>
        <v>91027.647853201619</v>
      </c>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s="14"/>
    </row>
    <row r="23" spans="1:54" ht="15.75" x14ac:dyDescent="0.25">
      <c r="A23" s="1">
        <f>IF(A22&lt;'Project Information'!B$11,A22+1,"")</f>
        <v>2044</v>
      </c>
      <c r="B23" s="278">
        <f t="shared" si="0"/>
        <v>118770.4339059092</v>
      </c>
      <c r="C23" s="278">
        <f t="shared" si="1"/>
        <v>237540.8678118184</v>
      </c>
      <c r="D23" s="8">
        <f t="shared" si="2"/>
        <v>118770.4339059092</v>
      </c>
      <c r="G23" s="13"/>
      <c r="H23" s="249">
        <v>8</v>
      </c>
      <c r="I23" s="249">
        <v>2036</v>
      </c>
      <c r="J23" s="250">
        <f t="shared" si="4"/>
        <v>93758.477288797672</v>
      </c>
      <c r="K23" s="250">
        <f t="shared" si="4"/>
        <v>187516.95457759534</v>
      </c>
      <c r="L23" s="252">
        <f t="shared" si="3"/>
        <v>93758.477288797672</v>
      </c>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s="14"/>
    </row>
    <row r="24" spans="1:54" ht="15.75" x14ac:dyDescent="0.25">
      <c r="A24" s="1">
        <f>IF(A23&lt;'Project Information'!B$11,A23+1,"")</f>
        <v>2045</v>
      </c>
      <c r="B24" s="278">
        <f t="shared" si="0"/>
        <v>122333.54692308648</v>
      </c>
      <c r="C24" s="278">
        <f t="shared" si="1"/>
        <v>244667.09384617297</v>
      </c>
      <c r="D24" s="8">
        <f t="shared" si="2"/>
        <v>122333.54692308648</v>
      </c>
      <c r="G24" s="13"/>
      <c r="H24" s="249">
        <v>9</v>
      </c>
      <c r="I24" s="249">
        <v>2037</v>
      </c>
      <c r="J24" s="250">
        <f t="shared" si="4"/>
        <v>96571.23160746161</v>
      </c>
      <c r="K24" s="250">
        <f t="shared" si="4"/>
        <v>193142.46321492322</v>
      </c>
      <c r="L24" s="252">
        <f t="shared" si="3"/>
        <v>96571.23160746161</v>
      </c>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s="14"/>
    </row>
    <row r="25" spans="1:54" ht="15.75" x14ac:dyDescent="0.25">
      <c r="A25" s="1">
        <f>IF(A24&lt;'Project Information'!B$11,A24+1,"")</f>
        <v>2046</v>
      </c>
      <c r="B25" s="278">
        <f t="shared" si="0"/>
        <v>126003.55333077908</v>
      </c>
      <c r="C25" s="278">
        <f t="shared" si="1"/>
        <v>252007.10666155815</v>
      </c>
      <c r="D25" s="8">
        <f t="shared" si="2"/>
        <v>126003.55333077908</v>
      </c>
      <c r="G25" s="13"/>
      <c r="H25" s="249">
        <v>10</v>
      </c>
      <c r="I25" s="249">
        <v>2038</v>
      </c>
      <c r="J25" s="250">
        <f t="shared" si="4"/>
        <v>99468.368555685462</v>
      </c>
      <c r="K25" s="250">
        <f t="shared" si="4"/>
        <v>198936.73711137092</v>
      </c>
      <c r="L25" s="252">
        <f t="shared" si="3"/>
        <v>99468.368555685462</v>
      </c>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s="14"/>
    </row>
    <row r="26" spans="1:54" ht="15.75" x14ac:dyDescent="0.25">
      <c r="A26" s="1">
        <f>IF(A25&lt;'Project Information'!B$11,A25+1,"")</f>
        <v>2047</v>
      </c>
      <c r="B26" s="278">
        <f t="shared" si="0"/>
        <v>129783.65993070244</v>
      </c>
      <c r="C26" s="278">
        <f t="shared" si="1"/>
        <v>259567.31986140489</v>
      </c>
      <c r="D26" s="8">
        <f t="shared" si="2"/>
        <v>129783.65993070244</v>
      </c>
      <c r="G26" s="13"/>
      <c r="H26" s="249">
        <v>11</v>
      </c>
      <c r="I26" s="249">
        <v>2039</v>
      </c>
      <c r="J26" s="250">
        <f t="shared" si="4"/>
        <v>102452.41961235603</v>
      </c>
      <c r="K26" s="250">
        <f t="shared" si="4"/>
        <v>204904.83922471205</v>
      </c>
      <c r="L26" s="252">
        <f t="shared" si="3"/>
        <v>102452.41961235603</v>
      </c>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s="14"/>
    </row>
    <row r="27" spans="1:54" ht="15.75" x14ac:dyDescent="0.25">
      <c r="A27" s="1">
        <f>IF(A26&lt;'Project Information'!B$11,A26+1,"")</f>
        <v>2048</v>
      </c>
      <c r="B27" s="279">
        <f t="shared" si="0"/>
        <v>133677.16972862353</v>
      </c>
      <c r="C27" s="279">
        <f t="shared" si="1"/>
        <v>267354.33945724706</v>
      </c>
      <c r="D27" s="8">
        <f t="shared" si="2"/>
        <v>133677.16972862353</v>
      </c>
      <c r="G27" s="13"/>
      <c r="H27" s="249">
        <v>12</v>
      </c>
      <c r="I27" s="249">
        <v>2040</v>
      </c>
      <c r="J27" s="250">
        <f t="shared" si="4"/>
        <v>105525.9922007267</v>
      </c>
      <c r="K27" s="250">
        <f t="shared" si="4"/>
        <v>211051.9844014534</v>
      </c>
      <c r="L27" s="252">
        <f t="shared" si="3"/>
        <v>105525.9922007267</v>
      </c>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s="14"/>
    </row>
    <row r="28" spans="1:54" ht="15.75" x14ac:dyDescent="0.25">
      <c r="A28" s="1" t="str">
        <f>IF(A27&lt;'Project Information'!B$11,A27+1,"")</f>
        <v/>
      </c>
      <c r="B28" s="22">
        <v>0</v>
      </c>
      <c r="C28" s="22">
        <v>0</v>
      </c>
      <c r="D28" s="8">
        <f t="shared" si="2"/>
        <v>0</v>
      </c>
      <c r="G28" s="13"/>
      <c r="H28" s="249">
        <v>13</v>
      </c>
      <c r="I28" s="249">
        <v>2041</v>
      </c>
      <c r="J28" s="250">
        <f t="shared" si="4"/>
        <v>108691.77196674851</v>
      </c>
      <c r="K28" s="250">
        <f t="shared" si="4"/>
        <v>217383.54393349701</v>
      </c>
      <c r="L28" s="252">
        <f t="shared" si="3"/>
        <v>108691.77196674851</v>
      </c>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s="14"/>
    </row>
    <row r="29" spans="1:54" ht="15.75" x14ac:dyDescent="0.25">
      <c r="A29" s="1" t="str">
        <f>IF(A28&lt;'Project Information'!B$11,A28+1,"")</f>
        <v/>
      </c>
      <c r="B29" s="22">
        <v>0</v>
      </c>
      <c r="C29" s="22">
        <v>0</v>
      </c>
      <c r="D29" s="8">
        <f t="shared" si="2"/>
        <v>0</v>
      </c>
      <c r="G29" s="13"/>
      <c r="H29" s="249">
        <v>14</v>
      </c>
      <c r="I29" s="249">
        <v>2042</v>
      </c>
      <c r="J29" s="250">
        <f t="shared" si="4"/>
        <v>111952.52512575097</v>
      </c>
      <c r="K29" s="250">
        <f t="shared" si="4"/>
        <v>223905.05025150193</v>
      </c>
      <c r="L29" s="252">
        <f t="shared" si="3"/>
        <v>111952.52512575097</v>
      </c>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s="14"/>
    </row>
    <row r="30" spans="1:54" ht="15.75" x14ac:dyDescent="0.25">
      <c r="A30" s="1" t="str">
        <f>IF(A29&lt;'Project Information'!B$11,A29+1,"")</f>
        <v/>
      </c>
      <c r="B30" s="22">
        <v>0</v>
      </c>
      <c r="C30" s="22">
        <v>0</v>
      </c>
      <c r="D30" s="8">
        <f t="shared" si="2"/>
        <v>0</v>
      </c>
      <c r="G30" s="13"/>
      <c r="H30" s="249">
        <v>15</v>
      </c>
      <c r="I30" s="249">
        <v>2043</v>
      </c>
      <c r="J30" s="250">
        <f t="shared" si="4"/>
        <v>115311.1008795235</v>
      </c>
      <c r="K30" s="250">
        <f t="shared" si="4"/>
        <v>230622.20175904699</v>
      </c>
      <c r="L30" s="252">
        <f t="shared" si="3"/>
        <v>115311.1008795235</v>
      </c>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s="14"/>
    </row>
    <row r="31" spans="1:54" ht="15.75" x14ac:dyDescent="0.25">
      <c r="A31" s="1" t="str">
        <f>IF(A30&lt;'Project Information'!B$11,A30+1,"")</f>
        <v/>
      </c>
      <c r="B31" s="22">
        <v>0</v>
      </c>
      <c r="C31" s="22">
        <v>0</v>
      </c>
      <c r="D31" s="8">
        <f t="shared" si="2"/>
        <v>0</v>
      </c>
      <c r="G31" s="13"/>
      <c r="H31" s="249">
        <v>16</v>
      </c>
      <c r="I31" s="249">
        <v>2044</v>
      </c>
      <c r="J31" s="250">
        <f t="shared" si="4"/>
        <v>118770.4339059092</v>
      </c>
      <c r="K31" s="250">
        <f t="shared" si="4"/>
        <v>237540.8678118184</v>
      </c>
      <c r="L31" s="252">
        <f t="shared" si="3"/>
        <v>118770.4339059092</v>
      </c>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s="14"/>
    </row>
    <row r="32" spans="1:54" ht="15.75" x14ac:dyDescent="0.25">
      <c r="A32" s="1" t="str">
        <f>IF(A31&lt;'Project Information'!B$11,A31+1,"")</f>
        <v/>
      </c>
      <c r="B32" s="22">
        <v>0</v>
      </c>
      <c r="C32" s="22">
        <v>0</v>
      </c>
      <c r="D32" s="8">
        <f t="shared" si="2"/>
        <v>0</v>
      </c>
      <c r="G32" s="13"/>
      <c r="H32" s="249">
        <v>17</v>
      </c>
      <c r="I32" s="249">
        <v>2045</v>
      </c>
      <c r="J32" s="250">
        <f t="shared" si="4"/>
        <v>122333.54692308648</v>
      </c>
      <c r="K32" s="250">
        <f t="shared" si="4"/>
        <v>244667.09384617297</v>
      </c>
      <c r="L32" s="252">
        <f t="shared" si="3"/>
        <v>122333.54692308648</v>
      </c>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s="14"/>
    </row>
    <row r="33" spans="1:54" ht="15.75" x14ac:dyDescent="0.25">
      <c r="A33" s="1" t="str">
        <f>IF(A32&lt;'Project Information'!B$11,A32+1,"")</f>
        <v/>
      </c>
      <c r="B33" s="22">
        <v>0</v>
      </c>
      <c r="C33" s="22">
        <v>0</v>
      </c>
      <c r="D33" s="8">
        <f t="shared" si="2"/>
        <v>0</v>
      </c>
      <c r="G33" s="13"/>
      <c r="H33" s="249">
        <v>18</v>
      </c>
      <c r="I33" s="249">
        <v>2046</v>
      </c>
      <c r="J33" s="250">
        <f t="shared" ref="J33:K34" si="5">J32*1.03</f>
        <v>126003.55333077908</v>
      </c>
      <c r="K33" s="250">
        <f t="shared" si="5"/>
        <v>252007.10666155815</v>
      </c>
      <c r="L33" s="252">
        <f t="shared" si="3"/>
        <v>126003.55333077908</v>
      </c>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s="14"/>
    </row>
    <row r="34" spans="1:54" ht="15.75" x14ac:dyDescent="0.25">
      <c r="A34" s="1" t="str">
        <f>IF(A33&lt;'Project Information'!B$11,A33+1,"")</f>
        <v/>
      </c>
      <c r="B34" s="22">
        <v>0</v>
      </c>
      <c r="C34" s="22">
        <v>0</v>
      </c>
      <c r="D34" s="8">
        <f t="shared" si="2"/>
        <v>0</v>
      </c>
      <c r="G34" s="13"/>
      <c r="H34" s="249">
        <v>19</v>
      </c>
      <c r="I34" s="249">
        <v>2047</v>
      </c>
      <c r="J34" s="250">
        <f t="shared" si="5"/>
        <v>129783.65993070244</v>
      </c>
      <c r="K34" s="250">
        <f t="shared" si="5"/>
        <v>259567.31986140489</v>
      </c>
      <c r="L34" s="252">
        <f t="shared" si="3"/>
        <v>129783.65993070244</v>
      </c>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s="14"/>
    </row>
    <row r="35" spans="1:54" ht="15.75" x14ac:dyDescent="0.25">
      <c r="A35" s="1" t="str">
        <f>IF(A34&lt;'Project Information'!B$11,A34+1,"")</f>
        <v/>
      </c>
      <c r="B35" s="22">
        <v>0</v>
      </c>
      <c r="C35" s="22">
        <v>0</v>
      </c>
      <c r="D35" s="8">
        <f t="shared" si="2"/>
        <v>0</v>
      </c>
      <c r="G35" s="13"/>
      <c r="H35" s="254">
        <v>20</v>
      </c>
      <c r="I35" s="254">
        <v>2048</v>
      </c>
      <c r="J35" s="250">
        <f>J34*1.03</f>
        <v>133677.16972862353</v>
      </c>
      <c r="K35" s="250">
        <f>K34*1.03</f>
        <v>267354.33945724706</v>
      </c>
      <c r="L35" s="252">
        <f t="shared" si="3"/>
        <v>133677.16972862353</v>
      </c>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s="14"/>
    </row>
    <row r="36" spans="1:54" ht="15.75" x14ac:dyDescent="0.25">
      <c r="A36" s="1" t="str">
        <f>IF(A35&lt;'Project Information'!B$11,A35+1,"")</f>
        <v/>
      </c>
      <c r="B36" s="22">
        <v>0</v>
      </c>
      <c r="C36" s="22">
        <v>0</v>
      </c>
      <c r="D36" s="8">
        <f t="shared" si="2"/>
        <v>0</v>
      </c>
      <c r="G36" s="13"/>
      <c r="H36" s="255" t="s">
        <v>524</v>
      </c>
      <c r="I36" s="256"/>
      <c r="J36" s="257">
        <f>SUM(J11:J35)</f>
        <v>2048442.0940160733</v>
      </c>
      <c r="K36" s="257">
        <f>SUM(K11:K35)</f>
        <v>4096884.1880321465</v>
      </c>
      <c r="L36" s="257">
        <f>SUM(L11:L35)</f>
        <v>2048442.0940160733</v>
      </c>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s="14"/>
    </row>
    <row r="37" spans="1:54" x14ac:dyDescent="0.25">
      <c r="A37" s="1" t="str">
        <f>IF(A36&lt;'Project Information'!B$11,A36+1,"")</f>
        <v/>
      </c>
      <c r="B37" s="22">
        <v>0</v>
      </c>
      <c r="C37" s="22">
        <v>0</v>
      </c>
      <c r="D37" s="8">
        <f t="shared" si="2"/>
        <v>0</v>
      </c>
      <c r="G37" s="13"/>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s="14"/>
    </row>
    <row r="38" spans="1:54" x14ac:dyDescent="0.25">
      <c r="A38" s="31"/>
      <c r="B38" s="32"/>
      <c r="C38" s="32"/>
      <c r="D38" s="33"/>
      <c r="G38" s="13"/>
      <c r="H38" t="s">
        <v>525</v>
      </c>
      <c r="I38"/>
      <c r="J38"/>
      <c r="K38" s="231">
        <f>J36/7.66</f>
        <v>267420.63890549261</v>
      </c>
      <c r="L38" s="231"/>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s="14"/>
    </row>
    <row r="39" spans="1:54" x14ac:dyDescent="0.25">
      <c r="B39" s="28"/>
      <c r="C39" s="28"/>
      <c r="D39" s="29"/>
      <c r="G39" s="13"/>
      <c r="H39" t="s">
        <v>526</v>
      </c>
      <c r="I39"/>
      <c r="J39"/>
      <c r="K39" s="231">
        <f>K36/14.096</f>
        <v>290641.61379342695</v>
      </c>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s="14"/>
    </row>
    <row r="40" spans="1:54" x14ac:dyDescent="0.25">
      <c r="B40" s="28"/>
      <c r="C40" s="28"/>
      <c r="D40" s="29"/>
      <c r="G40" s="13"/>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s="14"/>
    </row>
    <row r="41" spans="1:54" x14ac:dyDescent="0.25">
      <c r="B41" s="28"/>
      <c r="C41" s="28"/>
      <c r="D41" s="29"/>
      <c r="G41" s="13"/>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s="14"/>
    </row>
    <row r="42" spans="1:54" x14ac:dyDescent="0.25">
      <c r="B42" s="28"/>
      <c r="C42" s="28"/>
      <c r="D42" s="29"/>
      <c r="G42" s="13"/>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s="14"/>
    </row>
    <row r="43" spans="1:54" x14ac:dyDescent="0.25">
      <c r="B43" s="28"/>
      <c r="C43" s="28"/>
      <c r="D43" s="29"/>
      <c r="G43" s="1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s="14"/>
    </row>
    <row r="44" spans="1:54" x14ac:dyDescent="0.25">
      <c r="B44" s="28"/>
      <c r="C44" s="28"/>
      <c r="D44" s="29"/>
      <c r="G44" s="13"/>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s="14"/>
    </row>
    <row r="45" spans="1:54" x14ac:dyDescent="0.25">
      <c r="B45" s="28"/>
      <c r="C45" s="28"/>
      <c r="D45" s="29"/>
      <c r="G45" s="13"/>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s="14"/>
    </row>
    <row r="46" spans="1:54" x14ac:dyDescent="0.25">
      <c r="B46" s="28"/>
      <c r="C46" s="28"/>
      <c r="D46" s="29"/>
      <c r="G46" s="13"/>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s="14"/>
    </row>
    <row r="47" spans="1:54" x14ac:dyDescent="0.25">
      <c r="B47" s="28"/>
      <c r="C47" s="28"/>
      <c r="D47" s="29"/>
      <c r="G47" s="13"/>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s="14"/>
    </row>
    <row r="48" spans="1:54" x14ac:dyDescent="0.25">
      <c r="G48" s="13"/>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s="14"/>
    </row>
    <row r="49" spans="7:54" x14ac:dyDescent="0.25">
      <c r="G49" s="13"/>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s="14"/>
    </row>
    <row r="50" spans="7:54" x14ac:dyDescent="0.25">
      <c r="G50" s="13"/>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s="14"/>
    </row>
    <row r="51" spans="7:54" x14ac:dyDescent="0.25">
      <c r="G51" s="13"/>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s="14"/>
    </row>
    <row r="52" spans="7:54" x14ac:dyDescent="0.25">
      <c r="G52" s="13"/>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s="14"/>
    </row>
    <row r="53" spans="7:54" x14ac:dyDescent="0.25">
      <c r="G53" s="1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s="14"/>
    </row>
    <row r="54" spans="7:54" x14ac:dyDescent="0.25">
      <c r="G54" s="13"/>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s="14"/>
    </row>
    <row r="55" spans="7:54" x14ac:dyDescent="0.25">
      <c r="G55" s="13"/>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s="14"/>
    </row>
    <row r="56" spans="7:54" x14ac:dyDescent="0.25">
      <c r="G56" s="13"/>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s="14"/>
    </row>
    <row r="57" spans="7:54" x14ac:dyDescent="0.25">
      <c r="G57" s="13"/>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s="14"/>
    </row>
    <row r="58" spans="7:54" x14ac:dyDescent="0.25">
      <c r="G58" s="13"/>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s="14"/>
    </row>
    <row r="59" spans="7:54" x14ac:dyDescent="0.25">
      <c r="G59" s="13"/>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s="14"/>
    </row>
    <row r="60" spans="7:54" x14ac:dyDescent="0.25">
      <c r="G60" s="13"/>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s="14"/>
    </row>
    <row r="61" spans="7:54" x14ac:dyDescent="0.25">
      <c r="G61" s="13"/>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s="14"/>
    </row>
    <row r="62" spans="7:54" x14ac:dyDescent="0.25">
      <c r="G62" s="13"/>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s="14"/>
    </row>
    <row r="63" spans="7:54" x14ac:dyDescent="0.25">
      <c r="G63" s="1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s="14"/>
    </row>
    <row r="64" spans="7:54" x14ac:dyDescent="0.25">
      <c r="G64" s="13"/>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s="14"/>
    </row>
    <row r="65" spans="7:54" x14ac:dyDescent="0.25">
      <c r="G65" s="13"/>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s="14"/>
    </row>
    <row r="66" spans="7:54" x14ac:dyDescent="0.25">
      <c r="G66" s="13"/>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s="14"/>
    </row>
    <row r="67" spans="7:54" x14ac:dyDescent="0.25">
      <c r="G67" s="13"/>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s="14"/>
    </row>
    <row r="68" spans="7:54" x14ac:dyDescent="0.25">
      <c r="G68" s="13"/>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s="14"/>
    </row>
    <row r="69" spans="7:54" x14ac:dyDescent="0.25">
      <c r="G69" s="13"/>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s="14"/>
    </row>
    <row r="70" spans="7:54" x14ac:dyDescent="0.25">
      <c r="G70" s="13"/>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s="14"/>
    </row>
    <row r="71" spans="7:54" x14ac:dyDescent="0.25">
      <c r="G71" s="13"/>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s="14"/>
    </row>
    <row r="72" spans="7:54" x14ac:dyDescent="0.25">
      <c r="G72" s="13"/>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s="14"/>
    </row>
    <row r="73" spans="7:54" x14ac:dyDescent="0.25">
      <c r="G73" s="1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s="14"/>
    </row>
    <row r="74" spans="7:54" x14ac:dyDescent="0.25">
      <c r="G74" s="13"/>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s="14"/>
    </row>
    <row r="75" spans="7:54" x14ac:dyDescent="0.25">
      <c r="G75" s="13"/>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s="14"/>
    </row>
    <row r="76" spans="7:54" x14ac:dyDescent="0.25">
      <c r="G76" s="13"/>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s="14"/>
    </row>
    <row r="77" spans="7:54" x14ac:dyDescent="0.25">
      <c r="G77" s="13"/>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s="14"/>
    </row>
    <row r="78" spans="7:54" x14ac:dyDescent="0.25">
      <c r="G78" s="13"/>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s="14"/>
    </row>
    <row r="79" spans="7:54" x14ac:dyDescent="0.25">
      <c r="G79" s="13"/>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s="14"/>
    </row>
    <row r="80" spans="7:54" x14ac:dyDescent="0.25">
      <c r="G80" s="13"/>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s="14"/>
    </row>
    <row r="81" spans="7:54" x14ac:dyDescent="0.25">
      <c r="G81" s="13"/>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s="14"/>
    </row>
    <row r="82" spans="7:54" x14ac:dyDescent="0.25">
      <c r="G82" s="13"/>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s="14"/>
    </row>
    <row r="83" spans="7:54" x14ac:dyDescent="0.25">
      <c r="G83" s="1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s="14"/>
    </row>
    <row r="84" spans="7:54" x14ac:dyDescent="0.25">
      <c r="G84" s="13"/>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s="14"/>
    </row>
    <row r="85" spans="7:54" x14ac:dyDescent="0.25">
      <c r="G85" s="13"/>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s="14"/>
    </row>
    <row r="86" spans="7:54" x14ac:dyDescent="0.25">
      <c r="G86" s="13"/>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s="14"/>
    </row>
    <row r="87" spans="7:54" x14ac:dyDescent="0.25">
      <c r="G87" s="13"/>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s="14"/>
    </row>
    <row r="88" spans="7:54" x14ac:dyDescent="0.25">
      <c r="G88" s="13"/>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s="14"/>
    </row>
    <row r="89" spans="7:54" x14ac:dyDescent="0.25">
      <c r="G89" s="13"/>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s="14"/>
    </row>
    <row r="90" spans="7:54" x14ac:dyDescent="0.25">
      <c r="G90" s="13"/>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s="14"/>
    </row>
    <row r="91" spans="7:54" x14ac:dyDescent="0.25">
      <c r="G91" s="13"/>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s="14"/>
    </row>
    <row r="92" spans="7:54" x14ac:dyDescent="0.25">
      <c r="G92" s="13"/>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s="14"/>
    </row>
    <row r="93" spans="7:54" x14ac:dyDescent="0.25">
      <c r="G93" s="1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s="14"/>
    </row>
    <row r="94" spans="7:54" x14ac:dyDescent="0.25">
      <c r="G94" s="13"/>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s="14"/>
    </row>
    <row r="95" spans="7:54" x14ac:dyDescent="0.25">
      <c r="G95" s="13"/>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s="14"/>
    </row>
    <row r="96" spans="7:54" x14ac:dyDescent="0.25">
      <c r="G96" s="13"/>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s="14"/>
    </row>
    <row r="97" spans="7:54" ht="15.75" thickBot="1" x14ac:dyDescent="0.3">
      <c r="G97" s="15"/>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7"/>
    </row>
  </sheetData>
  <mergeCells count="1">
    <mergeCell ref="H9:L9"/>
  </mergeCells>
  <conditionalFormatting sqref="B8:B37">
    <cfRule type="expression" dxfId="18" priority="2">
      <formula>A8=""</formula>
    </cfRule>
  </conditionalFormatting>
  <conditionalFormatting sqref="C8:C37">
    <cfRule type="expression" dxfId="17" priority="1">
      <formula>A8=""</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3ED40-5564-4F69-B498-62F7E290D6B9}">
  <sheetPr>
    <tabColor theme="9" tint="0.39997558519241921"/>
  </sheetPr>
  <dimension ref="A1:BB111"/>
  <sheetViews>
    <sheetView topLeftCell="E11" workbookViewId="0">
      <selection activeCell="D43" sqref="D43"/>
    </sheetView>
  </sheetViews>
  <sheetFormatPr defaultColWidth="9.140625" defaultRowHeight="15" x14ac:dyDescent="0.25"/>
  <cols>
    <col min="1" max="1" width="38.42578125" style="5" customWidth="1"/>
    <col min="2" max="2" width="25.28515625" style="5" customWidth="1"/>
    <col min="3" max="3" width="32.5703125" style="5" customWidth="1"/>
    <col min="4" max="4" width="22.7109375" style="5" customWidth="1"/>
    <col min="5" max="7" width="9.140625" style="5"/>
    <col min="8" max="8" width="12.85546875" style="5" customWidth="1"/>
    <col min="9" max="11" width="9.140625" style="5"/>
    <col min="12" max="12" width="10.28515625" style="5" customWidth="1"/>
    <col min="13" max="13" width="10.42578125" style="5" customWidth="1"/>
    <col min="14" max="16384" width="9.140625" style="5"/>
  </cols>
  <sheetData>
    <row r="1" spans="1:9" ht="20.25" thickBot="1" x14ac:dyDescent="0.35">
      <c r="A1" s="96" t="s">
        <v>8</v>
      </c>
    </row>
    <row r="2" spans="1:9" ht="15.75" thickTop="1" x14ac:dyDescent="0.25">
      <c r="A2" s="152" t="s">
        <v>245</v>
      </c>
      <c r="B2" s="152"/>
      <c r="C2" s="152"/>
      <c r="D2" s="152"/>
      <c r="E2" s="152"/>
      <c r="F2" s="152"/>
    </row>
    <row r="3" spans="1:9" x14ac:dyDescent="0.25">
      <c r="A3" s="5" t="s">
        <v>205</v>
      </c>
    </row>
    <row r="4" spans="1:9" x14ac:dyDescent="0.25">
      <c r="A4" s="153" t="s">
        <v>354</v>
      </c>
      <c r="B4" s="152"/>
      <c r="C4" s="152"/>
      <c r="D4" s="152"/>
      <c r="E4" s="152"/>
      <c r="F4" s="152"/>
      <c r="G4" s="152"/>
      <c r="H4" s="152"/>
      <c r="I4" s="152"/>
    </row>
    <row r="5" spans="1:9" x14ac:dyDescent="0.25">
      <c r="A5" s="38" t="s">
        <v>205</v>
      </c>
    </row>
    <row r="6" spans="1:9" x14ac:dyDescent="0.25">
      <c r="A6" s="97" t="s">
        <v>246</v>
      </c>
      <c r="D6" s="97" t="s">
        <v>442</v>
      </c>
      <c r="E6"/>
      <c r="F6"/>
    </row>
    <row r="7" spans="1:9" ht="30" x14ac:dyDescent="0.25">
      <c r="A7" s="116" t="s">
        <v>22</v>
      </c>
      <c r="B7" s="116" t="str">
        <f>'Parameter Values'!B6</f>
        <v>Monetized Value (2023 $)</v>
      </c>
      <c r="D7" s="116" t="s">
        <v>434</v>
      </c>
      <c r="E7" s="116" t="s">
        <v>435</v>
      </c>
      <c r="F7" s="116" t="s">
        <v>436</v>
      </c>
    </row>
    <row r="8" spans="1:9" x14ac:dyDescent="0.25">
      <c r="A8" s="35" t="s">
        <v>23</v>
      </c>
      <c r="B8" s="40">
        <f>'Parameter Values'!B7</f>
        <v>5300</v>
      </c>
      <c r="D8" t="s">
        <v>437</v>
      </c>
      <c r="E8" s="207">
        <v>0</v>
      </c>
      <c r="F8" s="207">
        <f>E8/5</f>
        <v>0</v>
      </c>
    </row>
    <row r="9" spans="1:9" x14ac:dyDescent="0.25">
      <c r="A9" s="35" t="s">
        <v>24</v>
      </c>
      <c r="B9" s="40">
        <f>'Parameter Values'!B8</f>
        <v>118000</v>
      </c>
      <c r="D9" t="s">
        <v>438</v>
      </c>
      <c r="E9" s="207">
        <v>3</v>
      </c>
      <c r="F9" s="207">
        <f t="shared" ref="F9:F12" si="0">E9/5</f>
        <v>0.6</v>
      </c>
    </row>
    <row r="10" spans="1:9" x14ac:dyDescent="0.25">
      <c r="A10" s="35" t="s">
        <v>25</v>
      </c>
      <c r="B10" s="40">
        <f>'Parameter Values'!B9</f>
        <v>246900</v>
      </c>
      <c r="D10" t="s">
        <v>439</v>
      </c>
      <c r="E10" s="207">
        <v>12</v>
      </c>
      <c r="F10" s="207">
        <f t="shared" si="0"/>
        <v>2.4</v>
      </c>
    </row>
    <row r="11" spans="1:9" x14ac:dyDescent="0.25">
      <c r="A11" s="35" t="s">
        <v>26</v>
      </c>
      <c r="B11" s="40">
        <f>'Parameter Values'!B10</f>
        <v>1254700</v>
      </c>
      <c r="D11" t="s">
        <v>440</v>
      </c>
      <c r="E11" s="207">
        <v>37</v>
      </c>
      <c r="F11" s="207">
        <f t="shared" si="0"/>
        <v>7.4</v>
      </c>
    </row>
    <row r="12" spans="1:9" x14ac:dyDescent="0.25">
      <c r="A12" s="35" t="s">
        <v>27</v>
      </c>
      <c r="B12" s="40">
        <f>'Parameter Values'!B11</f>
        <v>13200000</v>
      </c>
      <c r="D12" t="s">
        <v>443</v>
      </c>
      <c r="E12" s="207">
        <f>SUM(E8:E11)</f>
        <v>52</v>
      </c>
      <c r="F12" s="207">
        <f t="shared" si="0"/>
        <v>10.4</v>
      </c>
    </row>
    <row r="13" spans="1:9" x14ac:dyDescent="0.25">
      <c r="A13" s="35" t="s">
        <v>28</v>
      </c>
      <c r="B13" s="40">
        <f>'Parameter Values'!B12</f>
        <v>229800</v>
      </c>
      <c r="D13"/>
      <c r="E13" s="207"/>
      <c r="F13" s="207"/>
    </row>
    <row r="14" spans="1:9" ht="30" x14ac:dyDescent="0.25">
      <c r="A14" s="129" t="s">
        <v>205</v>
      </c>
      <c r="B14" s="130"/>
      <c r="D14" s="210" t="s">
        <v>441</v>
      </c>
      <c r="E14" s="210" t="s">
        <v>435</v>
      </c>
      <c r="F14" s="210" t="s">
        <v>436</v>
      </c>
    </row>
    <row r="15" spans="1:9" x14ac:dyDescent="0.25">
      <c r="A15" s="35" t="s">
        <v>29</v>
      </c>
      <c r="D15" t="s">
        <v>437</v>
      </c>
      <c r="E15" s="208">
        <v>1</v>
      </c>
      <c r="F15" s="208">
        <f>E15/5</f>
        <v>0.2</v>
      </c>
    </row>
    <row r="16" spans="1:9" x14ac:dyDescent="0.25">
      <c r="A16" s="35" t="s">
        <v>267</v>
      </c>
      <c r="B16" s="40">
        <f>'Parameter Values'!B15</f>
        <v>9500</v>
      </c>
      <c r="D16" t="s">
        <v>438</v>
      </c>
      <c r="E16" s="208">
        <v>3</v>
      </c>
      <c r="F16" s="208">
        <f t="shared" ref="F16:F19" si="1">E16/5</f>
        <v>0.6</v>
      </c>
    </row>
    <row r="17" spans="1:54" x14ac:dyDescent="0.25">
      <c r="A17" s="35" t="s">
        <v>30</v>
      </c>
      <c r="B17" s="40">
        <f>'Parameter Values'!B16</f>
        <v>329500</v>
      </c>
      <c r="D17" t="s">
        <v>439</v>
      </c>
      <c r="E17" s="208">
        <v>10</v>
      </c>
      <c r="F17" s="208">
        <f t="shared" si="1"/>
        <v>2</v>
      </c>
    </row>
    <row r="18" spans="1:54" x14ac:dyDescent="0.25">
      <c r="A18" s="35" t="s">
        <v>31</v>
      </c>
      <c r="B18" s="40">
        <f>'Parameter Values'!B17</f>
        <v>14806000</v>
      </c>
      <c r="D18" t="s">
        <v>440</v>
      </c>
      <c r="E18" s="208">
        <v>23</v>
      </c>
      <c r="F18" s="208">
        <f t="shared" si="1"/>
        <v>4.5999999999999996</v>
      </c>
    </row>
    <row r="19" spans="1:54" x14ac:dyDescent="0.25">
      <c r="A19" s="5" t="s">
        <v>205</v>
      </c>
      <c r="D19" s="200" t="s">
        <v>443</v>
      </c>
      <c r="E19" s="209">
        <f>SUM(E15:E18)</f>
        <v>37</v>
      </c>
      <c r="F19" s="209">
        <f t="shared" si="1"/>
        <v>7.4</v>
      </c>
    </row>
    <row r="20" spans="1:54" ht="15.75" thickBot="1" x14ac:dyDescent="0.3">
      <c r="A20" s="97" t="s">
        <v>247</v>
      </c>
    </row>
    <row r="21" spans="1:54" x14ac:dyDescent="0.25">
      <c r="A21" s="107" t="s">
        <v>4</v>
      </c>
      <c r="B21" s="108" t="s">
        <v>173</v>
      </c>
      <c r="C21" s="108" t="s">
        <v>174</v>
      </c>
      <c r="D21" s="114" t="s">
        <v>168</v>
      </c>
      <c r="G21" s="216" t="s">
        <v>484</v>
      </c>
      <c r="H21" s="216"/>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2"/>
    </row>
    <row r="22" spans="1:54" x14ac:dyDescent="0.25">
      <c r="A22" s="6">
        <f>'Project Information'!$B$9</f>
        <v>2029</v>
      </c>
      <c r="B22" s="22"/>
      <c r="C22" s="22">
        <v>0</v>
      </c>
      <c r="D22" s="26">
        <f>(T24*$F$15*$B$12) + (T24*$F$16*$B$11) + (T24*$F$17*$B$10) + (U24*$F$18*$B$8) + (T56*$F$8*$B$12) + (T56*$F$9*$B$11) + (T56*$F$10*$B$10) + (U56*$F$11*$B$8)</f>
        <v>2778231.2146340203</v>
      </c>
      <c r="G22" s="206" t="s">
        <v>444</v>
      </c>
      <c r="H22"/>
      <c r="I22"/>
      <c r="J22"/>
      <c r="K22"/>
      <c r="L22"/>
      <c r="M22" s="206" t="s">
        <v>445</v>
      </c>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s="14"/>
    </row>
    <row r="23" spans="1:54" x14ac:dyDescent="0.25">
      <c r="A23" s="1">
        <f>IF(A22&lt;'Project Information'!B$11,A22+1,"")</f>
        <v>2030</v>
      </c>
      <c r="B23" s="22">
        <v>0</v>
      </c>
      <c r="C23" s="22">
        <v>0</v>
      </c>
      <c r="D23" s="26">
        <f t="shared" ref="D23:D41" si="2">(T25*$F$15*$B$12) + (T25*$F$16*$B$11) + (T25*$F$17*$B$10) + (U25*$F$18*$B$8) + (T57*$F$8*$B$12) + (T57*$F$9*$B$11) + (T57*$F$10*$B$10) + (U57*$F$11*$B$8)</f>
        <v>2693962.4398679789</v>
      </c>
      <c r="G23" s="211" t="s">
        <v>4</v>
      </c>
      <c r="H23" s="207" t="s">
        <v>446</v>
      </c>
      <c r="I23" s="207" t="s">
        <v>447</v>
      </c>
      <c r="J23" s="207" t="s">
        <v>448</v>
      </c>
      <c r="K23" s="207" t="s">
        <v>449</v>
      </c>
      <c r="L23" s="207" t="s">
        <v>450</v>
      </c>
      <c r="M23" s="211" t="s">
        <v>4</v>
      </c>
      <c r="N23" s="207" t="s">
        <v>446</v>
      </c>
      <c r="O23" s="207" t="s">
        <v>447</v>
      </c>
      <c r="P23" s="207" t="s">
        <v>448</v>
      </c>
      <c r="Q23" s="207" t="s">
        <v>449</v>
      </c>
      <c r="R23" s="207" t="s">
        <v>450</v>
      </c>
      <c r="S23" s="212" t="s">
        <v>451</v>
      </c>
      <c r="T23" s="207" t="s">
        <v>452</v>
      </c>
      <c r="U23" s="207" t="s">
        <v>453</v>
      </c>
      <c r="V23"/>
      <c r="W23"/>
      <c r="X23"/>
      <c r="Y23"/>
      <c r="Z23"/>
      <c r="AA23"/>
      <c r="AB23"/>
      <c r="AC23"/>
      <c r="AD23"/>
      <c r="AE23"/>
      <c r="AF23"/>
      <c r="AG23"/>
      <c r="AH23"/>
      <c r="AI23"/>
      <c r="AJ23"/>
      <c r="AK23"/>
      <c r="AL23"/>
      <c r="AM23"/>
      <c r="AN23"/>
      <c r="AO23"/>
      <c r="AP23"/>
      <c r="AQ23"/>
      <c r="AR23"/>
      <c r="AS23"/>
      <c r="AT23"/>
      <c r="AU23"/>
      <c r="AV23"/>
      <c r="AW23"/>
      <c r="AX23"/>
      <c r="AY23"/>
      <c r="AZ23"/>
      <c r="BA23"/>
      <c r="BB23" s="14"/>
    </row>
    <row r="24" spans="1:54" x14ac:dyDescent="0.25">
      <c r="A24" s="1">
        <f>IF(A23&lt;'Project Information'!B$11,A23+1,"")</f>
        <v>2031</v>
      </c>
      <c r="B24" s="22">
        <v>0</v>
      </c>
      <c r="C24" s="22">
        <v>0</v>
      </c>
      <c r="D24" s="26">
        <f t="shared" si="2"/>
        <v>2639465.5206261431</v>
      </c>
      <c r="G24" s="213" t="s">
        <v>454</v>
      </c>
      <c r="H24">
        <v>2.09</v>
      </c>
      <c r="I24">
        <v>0.67</v>
      </c>
      <c r="J24">
        <v>32.1</v>
      </c>
      <c r="K24">
        <v>1.42</v>
      </c>
      <c r="L24">
        <v>67.900000000000006</v>
      </c>
      <c r="M24" s="213" t="s">
        <v>454</v>
      </c>
      <c r="N24">
        <v>1.1200000000000001</v>
      </c>
      <c r="O24">
        <v>0.3</v>
      </c>
      <c r="P24">
        <v>26.753</v>
      </c>
      <c r="Q24">
        <v>0.82</v>
      </c>
      <c r="R24">
        <v>73.247</v>
      </c>
      <c r="S24" s="214">
        <f>1 - (N24/H24)</f>
        <v>0.46411483253588504</v>
      </c>
      <c r="T24" s="214">
        <f>1 - (O24/I24)</f>
        <v>0.55223880597014929</v>
      </c>
      <c r="U24" s="214">
        <f>1 - (Q24/K24)</f>
        <v>0.42253521126760563</v>
      </c>
      <c r="V24"/>
      <c r="W24"/>
      <c r="X24"/>
      <c r="Y24"/>
      <c r="Z24"/>
      <c r="AA24"/>
      <c r="AB24"/>
      <c r="AC24"/>
      <c r="AD24"/>
      <c r="AE24"/>
      <c r="AF24"/>
      <c r="AG24"/>
      <c r="AH24"/>
      <c r="AI24"/>
      <c r="AJ24"/>
      <c r="AK24"/>
      <c r="AL24"/>
      <c r="AM24"/>
      <c r="AN24"/>
      <c r="AO24"/>
      <c r="AP24"/>
      <c r="AQ24"/>
      <c r="AR24"/>
      <c r="AS24"/>
      <c r="AT24"/>
      <c r="AU24"/>
      <c r="AV24"/>
      <c r="AW24"/>
      <c r="AX24"/>
      <c r="AY24"/>
      <c r="AZ24"/>
      <c r="BA24"/>
      <c r="BB24" s="14"/>
    </row>
    <row r="25" spans="1:54" x14ac:dyDescent="0.25">
      <c r="A25" s="1">
        <f>IF(A24&lt;'Project Information'!B$11,A24+1,"")</f>
        <v>2032</v>
      </c>
      <c r="B25" s="22">
        <v>0</v>
      </c>
      <c r="C25" s="22">
        <v>0</v>
      </c>
      <c r="D25" s="26">
        <f t="shared" si="2"/>
        <v>2562745.0083207921</v>
      </c>
      <c r="G25" s="213" t="s">
        <v>455</v>
      </c>
      <c r="H25">
        <v>2.16</v>
      </c>
      <c r="I25">
        <v>0.69</v>
      </c>
      <c r="J25">
        <v>32.1</v>
      </c>
      <c r="K25">
        <v>1.47</v>
      </c>
      <c r="L25">
        <v>67.900000000000006</v>
      </c>
      <c r="M25" s="213" t="s">
        <v>455</v>
      </c>
      <c r="N25">
        <v>1.19</v>
      </c>
      <c r="O25">
        <v>0.32</v>
      </c>
      <c r="P25">
        <v>26.878</v>
      </c>
      <c r="Q25">
        <v>0.87</v>
      </c>
      <c r="R25">
        <v>73.123000000000005</v>
      </c>
      <c r="S25" s="214">
        <f t="shared" ref="S25:S52" si="3">1 - (N25/H25)</f>
        <v>0.44907407407407418</v>
      </c>
      <c r="T25" s="214">
        <f t="shared" ref="T25:T52" si="4">1 - (O25/I25)</f>
        <v>0.53623188405797095</v>
      </c>
      <c r="U25" s="214">
        <f t="shared" ref="U25:U52" si="5">1 - (Q25/K25)</f>
        <v>0.40816326530612246</v>
      </c>
      <c r="V25"/>
      <c r="W25"/>
      <c r="X25"/>
      <c r="Y25"/>
      <c r="Z25"/>
      <c r="AA25"/>
      <c r="AB25"/>
      <c r="AC25"/>
      <c r="AD25"/>
      <c r="AE25"/>
      <c r="AF25"/>
      <c r="AG25"/>
      <c r="AH25"/>
      <c r="AI25"/>
      <c r="AJ25"/>
      <c r="AK25"/>
      <c r="AL25"/>
      <c r="AM25"/>
      <c r="AN25"/>
      <c r="AO25"/>
      <c r="AP25"/>
      <c r="AQ25"/>
      <c r="AR25"/>
      <c r="AS25"/>
      <c r="AT25"/>
      <c r="AU25"/>
      <c r="AV25"/>
      <c r="AW25"/>
      <c r="AX25"/>
      <c r="AY25"/>
      <c r="AZ25"/>
      <c r="BA25"/>
      <c r="BB25" s="14"/>
    </row>
    <row r="26" spans="1:54" x14ac:dyDescent="0.25">
      <c r="A26" s="1">
        <f>IF(A25&lt;'Project Information'!B$11,A25+1,"")</f>
        <v>2033</v>
      </c>
      <c r="B26" s="22">
        <v>0</v>
      </c>
      <c r="C26" s="22">
        <v>0</v>
      </c>
      <c r="D26" s="26">
        <f t="shared" si="2"/>
        <v>2488920.33292699</v>
      </c>
      <c r="G26" s="213" t="s">
        <v>456</v>
      </c>
      <c r="H26">
        <v>2.23</v>
      </c>
      <c r="I26">
        <v>0.72</v>
      </c>
      <c r="J26">
        <v>32.1</v>
      </c>
      <c r="K26">
        <v>1.52</v>
      </c>
      <c r="L26">
        <v>67.900000000000006</v>
      </c>
      <c r="M26" s="213" t="s">
        <v>456</v>
      </c>
      <c r="N26">
        <v>1.26</v>
      </c>
      <c r="O26">
        <v>0.34</v>
      </c>
      <c r="P26">
        <v>26.988</v>
      </c>
      <c r="Q26">
        <v>0.92</v>
      </c>
      <c r="R26">
        <v>73.012</v>
      </c>
      <c r="S26" s="214">
        <f t="shared" si="3"/>
        <v>0.43497757847533636</v>
      </c>
      <c r="T26" s="214">
        <f t="shared" si="4"/>
        <v>0.52777777777777768</v>
      </c>
      <c r="U26" s="214">
        <f t="shared" si="5"/>
        <v>0.39473684210526316</v>
      </c>
      <c r="V26"/>
      <c r="W26"/>
      <c r="X26"/>
      <c r="Y26"/>
      <c r="Z26"/>
      <c r="AA26"/>
      <c r="AB26"/>
      <c r="AC26"/>
      <c r="AD26"/>
      <c r="AE26"/>
      <c r="AF26"/>
      <c r="AG26"/>
      <c r="AH26"/>
      <c r="AI26"/>
      <c r="AJ26"/>
      <c r="AK26"/>
      <c r="AL26"/>
      <c r="AM26"/>
      <c r="AN26"/>
      <c r="AO26"/>
      <c r="AP26"/>
      <c r="AQ26"/>
      <c r="AR26"/>
      <c r="AS26"/>
      <c r="AT26"/>
      <c r="AU26"/>
      <c r="AV26"/>
      <c r="AW26"/>
      <c r="AX26"/>
      <c r="AY26"/>
      <c r="AZ26"/>
      <c r="BA26"/>
      <c r="BB26" s="14"/>
    </row>
    <row r="27" spans="1:54" x14ac:dyDescent="0.25">
      <c r="A27" s="1">
        <f>IF(A26&lt;'Project Information'!B$11,A26+1,"")</f>
        <v>2034</v>
      </c>
      <c r="B27" s="22">
        <v>0</v>
      </c>
      <c r="C27" s="22">
        <v>0</v>
      </c>
      <c r="D27" s="26">
        <f t="shared" si="2"/>
        <v>2394536.2210047171</v>
      </c>
      <c r="G27" s="213" t="s">
        <v>457</v>
      </c>
      <c r="H27">
        <v>2.31</v>
      </c>
      <c r="I27">
        <v>0.74</v>
      </c>
      <c r="J27">
        <v>32.1</v>
      </c>
      <c r="K27">
        <v>1.57</v>
      </c>
      <c r="L27">
        <v>67.900000000000006</v>
      </c>
      <c r="M27" s="213" t="s">
        <v>457</v>
      </c>
      <c r="N27">
        <v>1.34</v>
      </c>
      <c r="O27">
        <v>0.36</v>
      </c>
      <c r="P27">
        <v>27.085999999999999</v>
      </c>
      <c r="Q27">
        <v>0.97</v>
      </c>
      <c r="R27">
        <v>72.914000000000001</v>
      </c>
      <c r="S27" s="214">
        <f t="shared" si="3"/>
        <v>0.41991341991341991</v>
      </c>
      <c r="T27" s="214">
        <f t="shared" si="4"/>
        <v>0.5135135135135136</v>
      </c>
      <c r="U27" s="214">
        <f t="shared" si="5"/>
        <v>0.38216560509554143</v>
      </c>
      <c r="V27"/>
      <c r="W27"/>
      <c r="X27"/>
      <c r="Y27"/>
      <c r="Z27"/>
      <c r="AA27"/>
      <c r="AB27"/>
      <c r="AC27"/>
      <c r="AD27"/>
      <c r="AE27"/>
      <c r="AF27"/>
      <c r="AG27"/>
      <c r="AH27"/>
      <c r="AI27"/>
      <c r="AJ27"/>
      <c r="AK27"/>
      <c r="AL27"/>
      <c r="AM27"/>
      <c r="AN27"/>
      <c r="AO27"/>
      <c r="AP27"/>
      <c r="AQ27"/>
      <c r="AR27"/>
      <c r="AS27"/>
      <c r="AT27"/>
      <c r="AU27"/>
      <c r="AV27"/>
      <c r="AW27"/>
      <c r="AX27"/>
      <c r="AY27"/>
      <c r="AZ27"/>
      <c r="BA27"/>
      <c r="BB27" s="14"/>
    </row>
    <row r="28" spans="1:54" x14ac:dyDescent="0.25">
      <c r="A28" s="1">
        <f>IF(A27&lt;'Project Information'!B$11,A27+1,"")</f>
        <v>2035</v>
      </c>
      <c r="B28" s="22">
        <v>0</v>
      </c>
      <c r="C28" s="22">
        <v>0</v>
      </c>
      <c r="D28" s="26">
        <f t="shared" si="2"/>
        <v>2331284.6877730726</v>
      </c>
      <c r="G28" s="213" t="s">
        <v>458</v>
      </c>
      <c r="H28">
        <v>2.38</v>
      </c>
      <c r="I28">
        <v>0.76</v>
      </c>
      <c r="J28">
        <v>32.1</v>
      </c>
      <c r="K28">
        <v>1.61</v>
      </c>
      <c r="L28">
        <v>67.900000000000006</v>
      </c>
      <c r="M28" s="213" t="s">
        <v>458</v>
      </c>
      <c r="N28">
        <v>1.41</v>
      </c>
      <c r="O28">
        <v>0.38</v>
      </c>
      <c r="P28">
        <v>27.173999999999999</v>
      </c>
      <c r="Q28">
        <v>1.03</v>
      </c>
      <c r="R28">
        <v>72.825999999999993</v>
      </c>
      <c r="S28" s="214">
        <f t="shared" si="3"/>
        <v>0.40756302521008403</v>
      </c>
      <c r="T28" s="214">
        <f t="shared" si="4"/>
        <v>0.5</v>
      </c>
      <c r="U28" s="214">
        <f t="shared" si="5"/>
        <v>0.36024844720496896</v>
      </c>
      <c r="V28"/>
      <c r="W28"/>
      <c r="X28"/>
      <c r="Y28"/>
      <c r="Z28"/>
      <c r="AA28"/>
      <c r="AB28"/>
      <c r="AC28"/>
      <c r="AD28"/>
      <c r="AE28"/>
      <c r="AF28"/>
      <c r="AG28"/>
      <c r="AH28"/>
      <c r="AI28"/>
      <c r="AJ28"/>
      <c r="AK28"/>
      <c r="AL28"/>
      <c r="AM28"/>
      <c r="AN28"/>
      <c r="AO28"/>
      <c r="AP28"/>
      <c r="AQ28"/>
      <c r="AR28"/>
      <c r="AS28"/>
      <c r="AT28"/>
      <c r="AU28"/>
      <c r="AV28"/>
      <c r="AW28"/>
      <c r="AX28"/>
      <c r="AY28"/>
      <c r="AZ28"/>
      <c r="BA28"/>
      <c r="BB28" s="14"/>
    </row>
    <row r="29" spans="1:54" x14ac:dyDescent="0.25">
      <c r="A29" s="1">
        <f>IF(A28&lt;'Project Information'!B$11,A28+1,"")</f>
        <v>2036</v>
      </c>
      <c r="B29" s="22">
        <v>0</v>
      </c>
      <c r="C29" s="22">
        <v>0</v>
      </c>
      <c r="D29" s="26">
        <f t="shared" si="2"/>
        <v>2267250.6283528972</v>
      </c>
      <c r="G29" s="213" t="s">
        <v>459</v>
      </c>
      <c r="H29">
        <v>2.4500000000000002</v>
      </c>
      <c r="I29">
        <v>0.79</v>
      </c>
      <c r="J29">
        <v>32.1</v>
      </c>
      <c r="K29">
        <v>1.66</v>
      </c>
      <c r="L29">
        <v>67.900000000000006</v>
      </c>
      <c r="M29" s="213" t="s">
        <v>459</v>
      </c>
      <c r="N29">
        <v>1.49</v>
      </c>
      <c r="O29">
        <v>0.41</v>
      </c>
      <c r="P29">
        <v>27.251999999999999</v>
      </c>
      <c r="Q29">
        <v>1.08</v>
      </c>
      <c r="R29">
        <v>72.748000000000005</v>
      </c>
      <c r="S29" s="214">
        <f t="shared" si="3"/>
        <v>0.39183673469387759</v>
      </c>
      <c r="T29" s="214">
        <f t="shared" si="4"/>
        <v>0.48101265822784811</v>
      </c>
      <c r="U29" s="214">
        <f t="shared" si="5"/>
        <v>0.34939759036144569</v>
      </c>
      <c r="V29"/>
      <c r="W29"/>
      <c r="X29"/>
      <c r="Y29"/>
      <c r="Z29"/>
      <c r="AA29"/>
      <c r="AB29"/>
      <c r="AC29"/>
      <c r="AD29"/>
      <c r="AE29"/>
      <c r="AF29"/>
      <c r="AG29"/>
      <c r="AH29"/>
      <c r="AI29"/>
      <c r="AJ29"/>
      <c r="AK29"/>
      <c r="AL29"/>
      <c r="AM29"/>
      <c r="AN29"/>
      <c r="AO29"/>
      <c r="AP29"/>
      <c r="AQ29"/>
      <c r="AR29"/>
      <c r="AS29"/>
      <c r="AT29"/>
      <c r="AU29"/>
      <c r="AV29"/>
      <c r="AW29"/>
      <c r="AX29"/>
      <c r="AY29"/>
      <c r="AZ29"/>
      <c r="BA29"/>
      <c r="BB29" s="14"/>
    </row>
    <row r="30" spans="1:54" x14ac:dyDescent="0.25">
      <c r="A30" s="1">
        <f>IF(A29&lt;'Project Information'!B$11,A29+1,"")</f>
        <v>2037</v>
      </c>
      <c r="B30" s="22">
        <v>0</v>
      </c>
      <c r="C30" s="22">
        <v>0</v>
      </c>
      <c r="D30" s="26">
        <f t="shared" si="2"/>
        <v>2230673.6529329247</v>
      </c>
      <c r="G30" s="213" t="s">
        <v>460</v>
      </c>
      <c r="H30">
        <v>2.52</v>
      </c>
      <c r="I30">
        <v>0.81</v>
      </c>
      <c r="J30">
        <v>32.1</v>
      </c>
      <c r="K30">
        <v>1.71</v>
      </c>
      <c r="L30">
        <v>67.900000000000006</v>
      </c>
      <c r="M30" s="213" t="s">
        <v>460</v>
      </c>
      <c r="N30">
        <v>1.56</v>
      </c>
      <c r="O30">
        <v>0.43</v>
      </c>
      <c r="P30">
        <v>27.321999999999999</v>
      </c>
      <c r="Q30">
        <v>1.1299999999999999</v>
      </c>
      <c r="R30">
        <v>72.677999999999997</v>
      </c>
      <c r="S30" s="214">
        <f t="shared" si="3"/>
        <v>0.38095238095238093</v>
      </c>
      <c r="T30" s="214">
        <f t="shared" si="4"/>
        <v>0.46913580246913589</v>
      </c>
      <c r="U30" s="214">
        <f t="shared" si="5"/>
        <v>0.33918128654970769</v>
      </c>
      <c r="V30"/>
      <c r="W30"/>
      <c r="X30"/>
      <c r="Y30"/>
      <c r="Z30"/>
      <c r="AA30"/>
      <c r="AB30"/>
      <c r="AC30"/>
      <c r="AD30"/>
      <c r="AE30"/>
      <c r="AF30"/>
      <c r="AG30"/>
      <c r="AH30"/>
      <c r="AI30"/>
      <c r="AJ30"/>
      <c r="AK30"/>
      <c r="AL30"/>
      <c r="AM30"/>
      <c r="AN30"/>
      <c r="AO30"/>
      <c r="AP30"/>
      <c r="AQ30"/>
      <c r="AR30"/>
      <c r="AS30"/>
      <c r="AT30"/>
      <c r="AU30"/>
      <c r="AV30"/>
      <c r="AW30"/>
      <c r="AX30"/>
      <c r="AY30"/>
      <c r="AZ30"/>
      <c r="BA30"/>
      <c r="BB30" s="14"/>
    </row>
    <row r="31" spans="1:54" x14ac:dyDescent="0.25">
      <c r="A31" s="1">
        <f>IF(A30&lt;'Project Information'!B$11,A30+1,"")</f>
        <v>2038</v>
      </c>
      <c r="B31" s="22">
        <v>0</v>
      </c>
      <c r="C31" s="22">
        <v>0</v>
      </c>
      <c r="D31" s="26">
        <f t="shared" si="2"/>
        <v>2171145.7358805062</v>
      </c>
      <c r="G31" s="213" t="s">
        <v>461</v>
      </c>
      <c r="H31">
        <v>2.6</v>
      </c>
      <c r="I31">
        <v>0.83</v>
      </c>
      <c r="J31">
        <v>32.1</v>
      </c>
      <c r="K31">
        <v>1.76</v>
      </c>
      <c r="L31">
        <v>67.900000000000006</v>
      </c>
      <c r="M31" s="213" t="s">
        <v>461</v>
      </c>
      <c r="N31">
        <v>1.64</v>
      </c>
      <c r="O31">
        <v>0.45</v>
      </c>
      <c r="P31">
        <v>27.385000000000002</v>
      </c>
      <c r="Q31">
        <v>1.19</v>
      </c>
      <c r="R31">
        <v>72.614999999999995</v>
      </c>
      <c r="S31" s="214">
        <f t="shared" si="3"/>
        <v>0.36923076923076925</v>
      </c>
      <c r="T31" s="214">
        <f t="shared" si="4"/>
        <v>0.45783132530120474</v>
      </c>
      <c r="U31" s="214">
        <f t="shared" si="5"/>
        <v>0.32386363636363635</v>
      </c>
      <c r="V31"/>
      <c r="W31"/>
      <c r="X31"/>
      <c r="Y31"/>
      <c r="Z31"/>
      <c r="AA31"/>
      <c r="AB31"/>
      <c r="AC31"/>
      <c r="AD31"/>
      <c r="AE31"/>
      <c r="AF31"/>
      <c r="AG31"/>
      <c r="AH31"/>
      <c r="AI31"/>
      <c r="AJ31"/>
      <c r="AK31"/>
      <c r="AL31"/>
      <c r="AM31"/>
      <c r="AN31"/>
      <c r="AO31"/>
      <c r="AP31"/>
      <c r="AQ31"/>
      <c r="AR31"/>
      <c r="AS31"/>
      <c r="AT31"/>
      <c r="AU31"/>
      <c r="AV31"/>
      <c r="AW31"/>
      <c r="AX31"/>
      <c r="AY31"/>
      <c r="AZ31"/>
      <c r="BA31"/>
      <c r="BB31" s="14"/>
    </row>
    <row r="32" spans="1:54" x14ac:dyDescent="0.25">
      <c r="A32" s="1">
        <f>IF(A31&lt;'Project Information'!B$11,A31+1,"")</f>
        <v>2039</v>
      </c>
      <c r="B32" s="22">
        <v>0</v>
      </c>
      <c r="C32" s="22">
        <v>0</v>
      </c>
      <c r="D32" s="26">
        <f t="shared" si="2"/>
        <v>2070589.0072698542</v>
      </c>
      <c r="G32" s="213" t="s">
        <v>462</v>
      </c>
      <c r="H32">
        <v>2.67</v>
      </c>
      <c r="I32">
        <v>0.86</v>
      </c>
      <c r="J32">
        <v>32.1</v>
      </c>
      <c r="K32">
        <v>1.81</v>
      </c>
      <c r="L32">
        <v>67.900000000000006</v>
      </c>
      <c r="M32" s="213" t="s">
        <v>462</v>
      </c>
      <c r="N32">
        <v>1.71</v>
      </c>
      <c r="O32">
        <v>0.47</v>
      </c>
      <c r="P32">
        <v>27.440999999999999</v>
      </c>
      <c r="Q32">
        <v>1.24</v>
      </c>
      <c r="R32">
        <v>72.558999999999997</v>
      </c>
      <c r="S32" s="214">
        <f t="shared" si="3"/>
        <v>0.3595505617977528</v>
      </c>
      <c r="T32" s="214">
        <f t="shared" si="4"/>
        <v>0.45348837209302328</v>
      </c>
      <c r="U32" s="214">
        <f t="shared" si="5"/>
        <v>0.31491712707182318</v>
      </c>
      <c r="V32"/>
      <c r="W32"/>
      <c r="X32"/>
      <c r="Y32"/>
      <c r="Z32"/>
      <c r="AA32"/>
      <c r="AB32"/>
      <c r="AC32"/>
      <c r="AD32"/>
      <c r="AE32"/>
      <c r="AF32"/>
      <c r="AG32"/>
      <c r="AH32"/>
      <c r="AI32"/>
      <c r="AJ32"/>
      <c r="AK32"/>
      <c r="AL32"/>
      <c r="AM32"/>
      <c r="AN32"/>
      <c r="AO32"/>
      <c r="AP32"/>
      <c r="AQ32"/>
      <c r="AR32"/>
      <c r="AS32"/>
      <c r="AT32"/>
      <c r="AU32"/>
      <c r="AV32"/>
      <c r="AW32"/>
      <c r="AX32"/>
      <c r="AY32"/>
      <c r="AZ32"/>
      <c r="BA32"/>
      <c r="BB32" s="14"/>
    </row>
    <row r="33" spans="1:54" x14ac:dyDescent="0.25">
      <c r="A33" s="1">
        <f>IF(A32&lt;'Project Information'!B$11,A32+1,"")</f>
        <v>2040</v>
      </c>
      <c r="B33" s="22">
        <v>0</v>
      </c>
      <c r="C33" s="22">
        <v>0</v>
      </c>
      <c r="D33" s="26">
        <f t="shared" si="2"/>
        <v>2040570.4749188705</v>
      </c>
      <c r="G33" s="213" t="s">
        <v>463</v>
      </c>
      <c r="H33">
        <v>2.74</v>
      </c>
      <c r="I33">
        <v>0.88</v>
      </c>
      <c r="J33">
        <v>32.1</v>
      </c>
      <c r="K33">
        <v>1.86</v>
      </c>
      <c r="L33">
        <v>67.900000000000006</v>
      </c>
      <c r="M33" s="213" t="s">
        <v>463</v>
      </c>
      <c r="N33">
        <v>1.79</v>
      </c>
      <c r="O33">
        <v>0.49</v>
      </c>
      <c r="P33">
        <v>27.491</v>
      </c>
      <c r="Q33">
        <v>1.3</v>
      </c>
      <c r="R33">
        <v>72.509</v>
      </c>
      <c r="S33" s="214">
        <f t="shared" si="3"/>
        <v>0.34671532846715336</v>
      </c>
      <c r="T33" s="214">
        <f t="shared" si="4"/>
        <v>0.44318181818181823</v>
      </c>
      <c r="U33" s="214">
        <f t="shared" si="5"/>
        <v>0.30107526881720437</v>
      </c>
      <c r="V33"/>
      <c r="W33"/>
      <c r="X33"/>
      <c r="Y33"/>
      <c r="Z33"/>
      <c r="AA33"/>
      <c r="AB33"/>
      <c r="AC33"/>
      <c r="AD33"/>
      <c r="AE33"/>
      <c r="AF33"/>
      <c r="AG33"/>
      <c r="AH33"/>
      <c r="AI33"/>
      <c r="AJ33"/>
      <c r="AK33"/>
      <c r="AL33"/>
      <c r="AM33"/>
      <c r="AN33"/>
      <c r="AO33"/>
      <c r="AP33"/>
      <c r="AQ33"/>
      <c r="AR33"/>
      <c r="AS33"/>
      <c r="AT33"/>
      <c r="AU33"/>
      <c r="AV33"/>
      <c r="AW33"/>
      <c r="AX33"/>
      <c r="AY33"/>
      <c r="AZ33"/>
      <c r="BA33"/>
      <c r="BB33" s="14"/>
    </row>
    <row r="34" spans="1:54" x14ac:dyDescent="0.25">
      <c r="A34" s="1">
        <f>IF(A33&lt;'Project Information'!B$11,A33+1,"")</f>
        <v>2041</v>
      </c>
      <c r="B34" s="22">
        <v>0</v>
      </c>
      <c r="C34" s="22">
        <v>0</v>
      </c>
      <c r="D34" s="26">
        <f t="shared" si="2"/>
        <v>1982686.7279419191</v>
      </c>
      <c r="G34" s="213" t="s">
        <v>464</v>
      </c>
      <c r="H34">
        <v>2.81</v>
      </c>
      <c r="I34">
        <v>0.9</v>
      </c>
      <c r="J34">
        <v>32.1</v>
      </c>
      <c r="K34">
        <v>1.91</v>
      </c>
      <c r="L34">
        <v>67.900000000000006</v>
      </c>
      <c r="M34" s="213" t="s">
        <v>464</v>
      </c>
      <c r="N34">
        <v>1.87</v>
      </c>
      <c r="O34">
        <v>0.52</v>
      </c>
      <c r="P34">
        <v>27.536000000000001</v>
      </c>
      <c r="Q34">
        <v>1.35</v>
      </c>
      <c r="R34">
        <v>72.463999999999999</v>
      </c>
      <c r="S34" s="214">
        <f t="shared" si="3"/>
        <v>0.33451957295373658</v>
      </c>
      <c r="T34" s="214">
        <f t="shared" si="4"/>
        <v>0.42222222222222217</v>
      </c>
      <c r="U34" s="214">
        <f t="shared" si="5"/>
        <v>0.29319371727748689</v>
      </c>
      <c r="V34"/>
      <c r="W34"/>
      <c r="X34"/>
      <c r="Y34"/>
      <c r="Z34"/>
      <c r="AA34"/>
      <c r="AB34"/>
      <c r="AC34"/>
      <c r="AD34"/>
      <c r="AE34"/>
      <c r="AF34"/>
      <c r="AG34"/>
      <c r="AH34"/>
      <c r="AI34"/>
      <c r="AJ34"/>
      <c r="AK34"/>
      <c r="AL34"/>
      <c r="AM34"/>
      <c r="AN34"/>
      <c r="AO34"/>
      <c r="AP34"/>
      <c r="AQ34"/>
      <c r="AR34"/>
      <c r="AS34"/>
      <c r="AT34"/>
      <c r="AU34"/>
      <c r="AV34"/>
      <c r="AW34"/>
      <c r="AX34"/>
      <c r="AY34"/>
      <c r="AZ34"/>
      <c r="BA34"/>
      <c r="BB34" s="14"/>
    </row>
    <row r="35" spans="1:54" x14ac:dyDescent="0.25">
      <c r="A35" s="1">
        <f>IF(A34&lt;'Project Information'!B$11,A34+1,"")</f>
        <v>2042</v>
      </c>
      <c r="B35" s="22">
        <v>0</v>
      </c>
      <c r="C35" s="22">
        <v>0</v>
      </c>
      <c r="D35" s="26">
        <f t="shared" si="2"/>
        <v>1931364.899151942</v>
      </c>
      <c r="G35" s="213" t="s">
        <v>465</v>
      </c>
      <c r="H35">
        <v>2.88</v>
      </c>
      <c r="I35">
        <v>0.93</v>
      </c>
      <c r="J35">
        <v>32.1</v>
      </c>
      <c r="K35">
        <v>1.96</v>
      </c>
      <c r="L35">
        <v>67.900000000000006</v>
      </c>
      <c r="M35" s="213" t="s">
        <v>465</v>
      </c>
      <c r="N35">
        <v>1.95</v>
      </c>
      <c r="O35">
        <v>0.54</v>
      </c>
      <c r="P35">
        <v>27.576000000000001</v>
      </c>
      <c r="Q35">
        <v>1.41</v>
      </c>
      <c r="R35">
        <v>72.424000000000007</v>
      </c>
      <c r="S35" s="214">
        <f t="shared" si="3"/>
        <v>0.32291666666666663</v>
      </c>
      <c r="T35" s="214">
        <f t="shared" si="4"/>
        <v>0.41935483870967738</v>
      </c>
      <c r="U35" s="214">
        <f t="shared" si="5"/>
        <v>0.28061224489795922</v>
      </c>
      <c r="V35"/>
      <c r="W35"/>
      <c r="X35"/>
      <c r="Y35"/>
      <c r="Z35"/>
      <c r="AA35"/>
      <c r="AB35"/>
      <c r="AC35"/>
      <c r="AD35"/>
      <c r="AE35"/>
      <c r="AF35"/>
      <c r="AG35"/>
      <c r="AH35"/>
      <c r="AI35"/>
      <c r="AJ35"/>
      <c r="AK35"/>
      <c r="AL35"/>
      <c r="AM35"/>
      <c r="AN35"/>
      <c r="AO35"/>
      <c r="AP35"/>
      <c r="AQ35"/>
      <c r="AR35"/>
      <c r="AS35"/>
      <c r="AT35"/>
      <c r="AU35"/>
      <c r="AV35"/>
      <c r="AW35"/>
      <c r="AX35"/>
      <c r="AY35"/>
      <c r="AZ35"/>
      <c r="BA35"/>
      <c r="BB35" s="14"/>
    </row>
    <row r="36" spans="1:54" x14ac:dyDescent="0.25">
      <c r="A36" s="1">
        <f>IF(A35&lt;'Project Information'!B$11,A35+1,"")</f>
        <v>2043</v>
      </c>
      <c r="B36" s="22">
        <v>0</v>
      </c>
      <c r="C36" s="22">
        <v>0</v>
      </c>
      <c r="D36" s="26">
        <f t="shared" si="2"/>
        <v>1846218.9523928373</v>
      </c>
      <c r="G36" s="213" t="s">
        <v>466</v>
      </c>
      <c r="H36">
        <v>2.95</v>
      </c>
      <c r="I36">
        <v>0.95</v>
      </c>
      <c r="J36">
        <v>32.1</v>
      </c>
      <c r="K36">
        <v>2.0099999999999998</v>
      </c>
      <c r="L36">
        <v>67.900000000000006</v>
      </c>
      <c r="M36" s="213" t="s">
        <v>466</v>
      </c>
      <c r="N36">
        <v>2.0299999999999998</v>
      </c>
      <c r="O36">
        <v>0.56000000000000005</v>
      </c>
      <c r="P36">
        <v>27.611999999999998</v>
      </c>
      <c r="Q36">
        <v>1.47</v>
      </c>
      <c r="R36">
        <v>72.388000000000005</v>
      </c>
      <c r="S36" s="214">
        <f t="shared" si="3"/>
        <v>0.3118644067796611</v>
      </c>
      <c r="T36" s="214">
        <f t="shared" si="4"/>
        <v>0.41052631578947363</v>
      </c>
      <c r="U36" s="214">
        <f t="shared" si="5"/>
        <v>0.26865671641791034</v>
      </c>
      <c r="V36"/>
      <c r="W36"/>
      <c r="X36"/>
      <c r="Y36"/>
      <c r="Z36"/>
      <c r="AA36"/>
      <c r="AB36"/>
      <c r="AC36"/>
      <c r="AD36"/>
      <c r="AE36"/>
      <c r="AF36"/>
      <c r="AG36"/>
      <c r="AH36"/>
      <c r="AI36"/>
      <c r="AJ36"/>
      <c r="AK36"/>
      <c r="AL36"/>
      <c r="AM36"/>
      <c r="AN36"/>
      <c r="AO36"/>
      <c r="AP36"/>
      <c r="AQ36"/>
      <c r="AR36"/>
      <c r="AS36"/>
      <c r="AT36"/>
      <c r="AU36"/>
      <c r="AV36"/>
      <c r="AW36"/>
      <c r="AX36"/>
      <c r="AY36"/>
      <c r="AZ36"/>
      <c r="BA36"/>
      <c r="BB36" s="14"/>
    </row>
    <row r="37" spans="1:54" x14ac:dyDescent="0.25">
      <c r="A37" s="1">
        <f>IF(A36&lt;'Project Information'!B$11,A36+1,"")</f>
        <v>2044</v>
      </c>
      <c r="B37" s="22">
        <v>0</v>
      </c>
      <c r="C37" s="22">
        <v>0</v>
      </c>
      <c r="D37" s="26">
        <f t="shared" si="2"/>
        <v>1822752.6438831347</v>
      </c>
      <c r="G37" s="213" t="s">
        <v>467</v>
      </c>
      <c r="H37">
        <v>3.02</v>
      </c>
      <c r="I37">
        <v>0.97</v>
      </c>
      <c r="J37">
        <v>32.1</v>
      </c>
      <c r="K37">
        <v>2.0499999999999998</v>
      </c>
      <c r="L37">
        <v>67.900000000000006</v>
      </c>
      <c r="M37" s="213" t="s">
        <v>467</v>
      </c>
      <c r="N37">
        <v>2.11</v>
      </c>
      <c r="O37">
        <v>0.57999999999999996</v>
      </c>
      <c r="P37">
        <v>27.645</v>
      </c>
      <c r="Q37">
        <v>1.53</v>
      </c>
      <c r="R37">
        <v>72.355999999999995</v>
      </c>
      <c r="S37" s="214">
        <f t="shared" si="3"/>
        <v>0.30132450331125837</v>
      </c>
      <c r="T37" s="214">
        <f t="shared" si="4"/>
        <v>0.40206185567010311</v>
      </c>
      <c r="U37" s="214">
        <f t="shared" si="5"/>
        <v>0.25365853658536575</v>
      </c>
      <c r="V37"/>
      <c r="W37"/>
      <c r="X37"/>
      <c r="Y37"/>
      <c r="Z37"/>
      <c r="AA37"/>
      <c r="AB37"/>
      <c r="AC37"/>
      <c r="AD37"/>
      <c r="AE37"/>
      <c r="AF37"/>
      <c r="AG37"/>
      <c r="AH37"/>
      <c r="AI37"/>
      <c r="AJ37"/>
      <c r="AK37"/>
      <c r="AL37"/>
      <c r="AM37"/>
      <c r="AN37"/>
      <c r="AO37"/>
      <c r="AP37"/>
      <c r="AQ37"/>
      <c r="AR37"/>
      <c r="AS37"/>
      <c r="AT37"/>
      <c r="AU37"/>
      <c r="AV37"/>
      <c r="AW37"/>
      <c r="AX37"/>
      <c r="AY37"/>
      <c r="AZ37"/>
      <c r="BA37"/>
      <c r="BB37" s="14"/>
    </row>
    <row r="38" spans="1:54" x14ac:dyDescent="0.25">
      <c r="A38" s="1">
        <f>IF(A37&lt;'Project Information'!B$11,A37+1,"")</f>
        <v>2045</v>
      </c>
      <c r="B38" s="22">
        <v>0</v>
      </c>
      <c r="C38" s="22">
        <v>0</v>
      </c>
      <c r="D38" s="26">
        <f t="shared" si="2"/>
        <v>1771845.5617397737</v>
      </c>
      <c r="G38" s="213" t="s">
        <v>468</v>
      </c>
      <c r="H38">
        <v>3.1</v>
      </c>
      <c r="I38">
        <v>0.99</v>
      </c>
      <c r="J38">
        <v>32.1</v>
      </c>
      <c r="K38">
        <v>2.1</v>
      </c>
      <c r="L38">
        <v>67.900000000000006</v>
      </c>
      <c r="M38" s="213" t="s">
        <v>468</v>
      </c>
      <c r="N38">
        <v>2.19</v>
      </c>
      <c r="O38">
        <v>0.61</v>
      </c>
      <c r="P38">
        <v>27.672999999999998</v>
      </c>
      <c r="Q38">
        <v>1.58</v>
      </c>
      <c r="R38">
        <v>72.326999999999998</v>
      </c>
      <c r="S38" s="214">
        <f t="shared" si="3"/>
        <v>0.29354838709677422</v>
      </c>
      <c r="T38" s="214">
        <f t="shared" si="4"/>
        <v>0.38383838383838387</v>
      </c>
      <c r="U38" s="214">
        <f t="shared" si="5"/>
        <v>0.24761904761904763</v>
      </c>
      <c r="V38"/>
      <c r="W38"/>
      <c r="X38"/>
      <c r="Y38"/>
      <c r="Z38"/>
      <c r="AA38"/>
      <c r="AB38"/>
      <c r="AC38"/>
      <c r="AD38"/>
      <c r="AE38"/>
      <c r="AF38"/>
      <c r="AG38"/>
      <c r="AH38"/>
      <c r="AI38"/>
      <c r="AJ38"/>
      <c r="AK38"/>
      <c r="AL38"/>
      <c r="AM38"/>
      <c r="AN38"/>
      <c r="AO38"/>
      <c r="AP38"/>
      <c r="AQ38"/>
      <c r="AR38"/>
      <c r="AS38"/>
      <c r="AT38"/>
      <c r="AU38"/>
      <c r="AV38"/>
      <c r="AW38"/>
      <c r="AX38"/>
      <c r="AY38"/>
      <c r="AZ38"/>
      <c r="BA38"/>
      <c r="BB38" s="14"/>
    </row>
    <row r="39" spans="1:54" x14ac:dyDescent="0.25">
      <c r="A39" s="1">
        <f>IF(A38&lt;'Project Information'!B$11,A38+1,"")</f>
        <v>2046</v>
      </c>
      <c r="B39" s="22">
        <v>0</v>
      </c>
      <c r="C39" s="22">
        <v>0</v>
      </c>
      <c r="D39" s="26">
        <f t="shared" si="2"/>
        <v>1690469.8385382835</v>
      </c>
      <c r="G39" s="213" t="s">
        <v>469</v>
      </c>
      <c r="H39">
        <v>3.17</v>
      </c>
      <c r="I39">
        <v>1.02</v>
      </c>
      <c r="J39">
        <v>32.1</v>
      </c>
      <c r="K39">
        <v>2.15</v>
      </c>
      <c r="L39">
        <v>67.900000000000006</v>
      </c>
      <c r="M39" s="213" t="s">
        <v>469</v>
      </c>
      <c r="N39">
        <v>2.27</v>
      </c>
      <c r="O39">
        <v>0.63</v>
      </c>
      <c r="P39">
        <v>27.699000000000002</v>
      </c>
      <c r="Q39">
        <v>1.64</v>
      </c>
      <c r="R39">
        <v>72.301000000000002</v>
      </c>
      <c r="S39" s="214">
        <f t="shared" si="3"/>
        <v>0.28391167192429023</v>
      </c>
      <c r="T39" s="214">
        <f t="shared" si="4"/>
        <v>0.38235294117647056</v>
      </c>
      <c r="U39" s="214">
        <f t="shared" si="5"/>
        <v>0.23720930232558146</v>
      </c>
      <c r="V39"/>
      <c r="W39"/>
      <c r="X39"/>
      <c r="Y39"/>
      <c r="Z39"/>
      <c r="AA39"/>
      <c r="AB39"/>
      <c r="AC39"/>
      <c r="AD39"/>
      <c r="AE39"/>
      <c r="AF39"/>
      <c r="AG39"/>
      <c r="AH39"/>
      <c r="AI39"/>
      <c r="AJ39"/>
      <c r="AK39"/>
      <c r="AL39"/>
      <c r="AM39"/>
      <c r="AN39"/>
      <c r="AO39"/>
      <c r="AP39"/>
      <c r="AQ39"/>
      <c r="AR39"/>
      <c r="AS39"/>
      <c r="AT39"/>
      <c r="AU39"/>
      <c r="AV39"/>
      <c r="AW39"/>
      <c r="AX39"/>
      <c r="AY39"/>
      <c r="AZ39"/>
      <c r="BA39"/>
      <c r="BB39" s="14"/>
    </row>
    <row r="40" spans="1:54" x14ac:dyDescent="0.25">
      <c r="A40" s="1">
        <f>IF(A39&lt;'Project Information'!B$11,A39+1,"")</f>
        <v>2047</v>
      </c>
      <c r="B40" s="22">
        <v>0</v>
      </c>
      <c r="C40" s="22">
        <v>0</v>
      </c>
      <c r="D40" s="26">
        <f t="shared" si="2"/>
        <v>1666052.7785858847</v>
      </c>
      <c r="G40" s="213" t="s">
        <v>470</v>
      </c>
      <c r="H40">
        <v>3.24</v>
      </c>
      <c r="I40">
        <v>1.04</v>
      </c>
      <c r="J40">
        <v>32.1</v>
      </c>
      <c r="K40">
        <v>2.2000000000000002</v>
      </c>
      <c r="L40">
        <v>67.900000000000006</v>
      </c>
      <c r="M40" s="213" t="s">
        <v>470</v>
      </c>
      <c r="N40">
        <v>2.36</v>
      </c>
      <c r="O40">
        <v>0.65</v>
      </c>
      <c r="P40">
        <v>27.722000000000001</v>
      </c>
      <c r="Q40">
        <v>1.7</v>
      </c>
      <c r="R40">
        <v>72.278000000000006</v>
      </c>
      <c r="S40" s="214">
        <f t="shared" si="3"/>
        <v>0.27160493827160503</v>
      </c>
      <c r="T40" s="214">
        <f t="shared" si="4"/>
        <v>0.375</v>
      </c>
      <c r="U40" s="214">
        <f t="shared" si="5"/>
        <v>0.2272727272727274</v>
      </c>
      <c r="V40"/>
      <c r="W40"/>
      <c r="X40"/>
      <c r="Y40"/>
      <c r="Z40"/>
      <c r="AA40"/>
      <c r="AB40"/>
      <c r="AC40"/>
      <c r="AD40"/>
      <c r="AE40"/>
      <c r="AF40"/>
      <c r="AG40"/>
      <c r="AH40"/>
      <c r="AI40"/>
      <c r="AJ40"/>
      <c r="AK40"/>
      <c r="AL40"/>
      <c r="AM40"/>
      <c r="AN40"/>
      <c r="AO40"/>
      <c r="AP40"/>
      <c r="AQ40"/>
      <c r="AR40"/>
      <c r="AS40"/>
      <c r="AT40"/>
      <c r="AU40"/>
      <c r="AV40"/>
      <c r="AW40"/>
      <c r="AX40"/>
      <c r="AY40"/>
      <c r="AZ40"/>
      <c r="BA40"/>
      <c r="BB40" s="14"/>
    </row>
    <row r="41" spans="1:54" x14ac:dyDescent="0.25">
      <c r="A41" s="1">
        <f>IF(A40&lt;'Project Information'!B$11,A40+1,"")</f>
        <v>2048</v>
      </c>
      <c r="B41" s="22">
        <v>0</v>
      </c>
      <c r="C41" s="22">
        <v>0</v>
      </c>
      <c r="D41" s="26">
        <f t="shared" si="2"/>
        <v>1624271.8666394858</v>
      </c>
      <c r="G41" s="213" t="s">
        <v>471</v>
      </c>
      <c r="H41">
        <v>3.31</v>
      </c>
      <c r="I41">
        <v>1.06</v>
      </c>
      <c r="J41">
        <v>32.1</v>
      </c>
      <c r="K41">
        <v>2.25</v>
      </c>
      <c r="L41">
        <v>67.900000000000006</v>
      </c>
      <c r="M41" s="213" t="s">
        <v>471</v>
      </c>
      <c r="N41">
        <v>2.44</v>
      </c>
      <c r="O41">
        <v>0.68</v>
      </c>
      <c r="P41">
        <v>27.742000000000001</v>
      </c>
      <c r="Q41">
        <v>1.76</v>
      </c>
      <c r="R41">
        <v>72.257999999999996</v>
      </c>
      <c r="S41" s="214">
        <f t="shared" si="3"/>
        <v>0.26283987915407858</v>
      </c>
      <c r="T41" s="214">
        <f t="shared" si="4"/>
        <v>0.35849056603773588</v>
      </c>
      <c r="U41" s="214">
        <f t="shared" si="5"/>
        <v>0.21777777777777774</v>
      </c>
      <c r="V41"/>
      <c r="W41"/>
      <c r="X41"/>
      <c r="Y41"/>
      <c r="Z41"/>
      <c r="AA41"/>
      <c r="AB41"/>
      <c r="AC41"/>
      <c r="AD41"/>
      <c r="AE41"/>
      <c r="AF41"/>
      <c r="AG41"/>
      <c r="AH41"/>
      <c r="AI41"/>
      <c r="AJ41"/>
      <c r="AK41"/>
      <c r="AL41"/>
      <c r="AM41"/>
      <c r="AN41"/>
      <c r="AO41"/>
      <c r="AP41"/>
      <c r="AQ41"/>
      <c r="AR41"/>
      <c r="AS41"/>
      <c r="AT41"/>
      <c r="AU41"/>
      <c r="AV41"/>
      <c r="AW41"/>
      <c r="AX41"/>
      <c r="AY41"/>
      <c r="AZ41"/>
      <c r="BA41"/>
      <c r="BB41" s="14"/>
    </row>
    <row r="42" spans="1:54" x14ac:dyDescent="0.25">
      <c r="A42" s="1" t="str">
        <f>IF(A41&lt;'Project Information'!B$11,A41+1,"")</f>
        <v/>
      </c>
      <c r="B42" s="22">
        <v>0</v>
      </c>
      <c r="C42" s="22">
        <v>0</v>
      </c>
      <c r="D42" s="26">
        <v>0</v>
      </c>
      <c r="G42" s="213" t="s">
        <v>472</v>
      </c>
      <c r="H42">
        <v>3.38</v>
      </c>
      <c r="I42">
        <v>1.0900000000000001</v>
      </c>
      <c r="J42">
        <v>32.1</v>
      </c>
      <c r="K42">
        <v>2.2999999999999998</v>
      </c>
      <c r="L42">
        <v>67.900000000000006</v>
      </c>
      <c r="M42" s="213" t="s">
        <v>472</v>
      </c>
      <c r="N42">
        <v>2.52</v>
      </c>
      <c r="O42">
        <v>0.7</v>
      </c>
      <c r="P42">
        <v>27.76</v>
      </c>
      <c r="Q42">
        <v>1.82</v>
      </c>
      <c r="R42">
        <v>72.239999999999995</v>
      </c>
      <c r="S42" s="214">
        <f t="shared" si="3"/>
        <v>0.25443786982248517</v>
      </c>
      <c r="T42" s="214">
        <f t="shared" si="4"/>
        <v>0.35779816513761475</v>
      </c>
      <c r="U42" s="214">
        <f t="shared" si="5"/>
        <v>0.20869565217391295</v>
      </c>
      <c r="V42"/>
      <c r="W42"/>
      <c r="X42"/>
      <c r="Y42"/>
      <c r="Z42"/>
      <c r="AA42"/>
      <c r="AB42"/>
      <c r="AC42"/>
      <c r="AD42"/>
      <c r="AE42"/>
      <c r="AF42"/>
      <c r="AG42"/>
      <c r="AH42"/>
      <c r="AI42"/>
      <c r="AJ42"/>
      <c r="AK42"/>
      <c r="AL42"/>
      <c r="AM42"/>
      <c r="AN42"/>
      <c r="AO42"/>
      <c r="AP42"/>
      <c r="AQ42"/>
      <c r="AR42"/>
      <c r="AS42"/>
      <c r="AT42"/>
      <c r="AU42"/>
      <c r="AV42"/>
      <c r="AW42"/>
      <c r="AX42"/>
      <c r="AY42"/>
      <c r="AZ42"/>
      <c r="BA42"/>
      <c r="BB42" s="14"/>
    </row>
    <row r="43" spans="1:54" x14ac:dyDescent="0.25">
      <c r="A43" s="1" t="str">
        <f>IF(A42&lt;'Project Information'!B$11,A42+1,"")</f>
        <v/>
      </c>
      <c r="B43" s="22">
        <v>0</v>
      </c>
      <c r="C43" s="22">
        <v>0</v>
      </c>
      <c r="D43" s="8">
        <f t="shared" ref="D43:D51" si="6">B43-C43</f>
        <v>0</v>
      </c>
      <c r="G43" s="213" t="s">
        <v>473</v>
      </c>
      <c r="H43">
        <v>3.46</v>
      </c>
      <c r="I43">
        <v>1.1100000000000001</v>
      </c>
      <c r="J43">
        <v>32.1</v>
      </c>
      <c r="K43">
        <v>2.35</v>
      </c>
      <c r="L43">
        <v>67.900000000000006</v>
      </c>
      <c r="M43" s="213" t="s">
        <v>473</v>
      </c>
      <c r="N43">
        <v>2.61</v>
      </c>
      <c r="O43">
        <v>0.72</v>
      </c>
      <c r="P43">
        <v>27.776</v>
      </c>
      <c r="Q43">
        <v>1.89</v>
      </c>
      <c r="R43">
        <v>72.224000000000004</v>
      </c>
      <c r="S43" s="214">
        <f t="shared" si="3"/>
        <v>0.24566473988439308</v>
      </c>
      <c r="T43" s="214">
        <f t="shared" si="4"/>
        <v>0.35135135135135143</v>
      </c>
      <c r="U43" s="214">
        <f t="shared" si="5"/>
        <v>0.19574468085106389</v>
      </c>
      <c r="V43"/>
      <c r="W43"/>
      <c r="X43"/>
      <c r="Y43"/>
      <c r="Z43"/>
      <c r="AA43"/>
      <c r="AB43"/>
      <c r="AC43"/>
      <c r="AD43"/>
      <c r="AE43"/>
      <c r="AF43"/>
      <c r="AG43"/>
      <c r="AH43"/>
      <c r="AI43"/>
      <c r="AJ43"/>
      <c r="AK43"/>
      <c r="AL43"/>
      <c r="AM43"/>
      <c r="AN43"/>
      <c r="AO43"/>
      <c r="AP43"/>
      <c r="AQ43"/>
      <c r="AR43"/>
      <c r="AS43"/>
      <c r="AT43"/>
      <c r="AU43"/>
      <c r="AV43"/>
      <c r="AW43"/>
      <c r="AX43"/>
      <c r="AY43"/>
      <c r="AZ43"/>
      <c r="BA43"/>
      <c r="BB43" s="14"/>
    </row>
    <row r="44" spans="1:54" x14ac:dyDescent="0.25">
      <c r="A44" s="1" t="str">
        <f>IF(A43&lt;'Project Information'!B$11,A43+1,"")</f>
        <v/>
      </c>
      <c r="B44" s="22">
        <v>0</v>
      </c>
      <c r="C44" s="22">
        <v>0</v>
      </c>
      <c r="D44" s="8">
        <f t="shared" si="6"/>
        <v>0</v>
      </c>
      <c r="G44" s="213" t="s">
        <v>474</v>
      </c>
      <c r="H44">
        <v>3.53</v>
      </c>
      <c r="I44">
        <v>1.1299999999999999</v>
      </c>
      <c r="J44">
        <v>32.1</v>
      </c>
      <c r="K44">
        <v>2.39</v>
      </c>
      <c r="L44">
        <v>67.900000000000006</v>
      </c>
      <c r="M44" s="213" t="s">
        <v>474</v>
      </c>
      <c r="N44">
        <v>2.69</v>
      </c>
      <c r="O44">
        <v>0.75</v>
      </c>
      <c r="P44">
        <v>27.789000000000001</v>
      </c>
      <c r="Q44">
        <v>1.95</v>
      </c>
      <c r="R44">
        <v>72.210999999999999</v>
      </c>
      <c r="S44" s="214">
        <f t="shared" si="3"/>
        <v>0.23796033994334276</v>
      </c>
      <c r="T44" s="214">
        <f t="shared" si="4"/>
        <v>0.33628318584070793</v>
      </c>
      <c r="U44" s="214">
        <f t="shared" si="5"/>
        <v>0.18410041841004188</v>
      </c>
      <c r="V44"/>
      <c r="W44"/>
      <c r="X44"/>
      <c r="Y44"/>
      <c r="Z44"/>
      <c r="AA44"/>
      <c r="AB44"/>
      <c r="AC44"/>
      <c r="AD44"/>
      <c r="AE44"/>
      <c r="AF44"/>
      <c r="AG44"/>
      <c r="AH44"/>
      <c r="AI44"/>
      <c r="AJ44"/>
      <c r="AK44"/>
      <c r="AL44"/>
      <c r="AM44"/>
      <c r="AN44"/>
      <c r="AO44"/>
      <c r="AP44"/>
      <c r="AQ44"/>
      <c r="AR44"/>
      <c r="AS44"/>
      <c r="AT44"/>
      <c r="AU44"/>
      <c r="AV44"/>
      <c r="AW44"/>
      <c r="AX44"/>
      <c r="AY44"/>
      <c r="AZ44"/>
      <c r="BA44"/>
      <c r="BB44" s="14"/>
    </row>
    <row r="45" spans="1:54" x14ac:dyDescent="0.25">
      <c r="A45" s="1" t="str">
        <f>IF(A44&lt;'Project Information'!B$11,A44+1,"")</f>
        <v/>
      </c>
      <c r="B45" s="22">
        <v>0</v>
      </c>
      <c r="C45" s="22">
        <v>0</v>
      </c>
      <c r="D45" s="8">
        <f t="shared" si="6"/>
        <v>0</v>
      </c>
      <c r="G45" s="213" t="s">
        <v>475</v>
      </c>
      <c r="H45">
        <v>3.6</v>
      </c>
      <c r="I45">
        <v>1.1599999999999999</v>
      </c>
      <c r="J45">
        <v>32.1</v>
      </c>
      <c r="K45">
        <v>2.44</v>
      </c>
      <c r="L45">
        <v>67.900000000000006</v>
      </c>
      <c r="M45" s="213" t="s">
        <v>475</v>
      </c>
      <c r="N45">
        <v>2.78</v>
      </c>
      <c r="O45">
        <v>0.77</v>
      </c>
      <c r="P45">
        <v>27.800999999999998</v>
      </c>
      <c r="Q45">
        <v>2.0099999999999998</v>
      </c>
      <c r="R45">
        <v>72.198999999999998</v>
      </c>
      <c r="S45" s="214">
        <f t="shared" si="3"/>
        <v>0.22777777777777786</v>
      </c>
      <c r="T45" s="214">
        <f t="shared" si="4"/>
        <v>0.33620689655172409</v>
      </c>
      <c r="U45" s="214">
        <f t="shared" si="5"/>
        <v>0.17622950819672134</v>
      </c>
      <c r="V45"/>
      <c r="W45"/>
      <c r="X45"/>
      <c r="Y45"/>
      <c r="Z45"/>
      <c r="AA45"/>
      <c r="AB45"/>
      <c r="AC45"/>
      <c r="AD45"/>
      <c r="AE45"/>
      <c r="AF45"/>
      <c r="AG45"/>
      <c r="AH45"/>
      <c r="AI45"/>
      <c r="AJ45"/>
      <c r="AK45"/>
      <c r="AL45"/>
      <c r="AM45"/>
      <c r="AN45"/>
      <c r="AO45"/>
      <c r="AP45"/>
      <c r="AQ45"/>
      <c r="AR45"/>
      <c r="AS45"/>
      <c r="AT45"/>
      <c r="AU45"/>
      <c r="AV45"/>
      <c r="AW45"/>
      <c r="AX45"/>
      <c r="AY45"/>
      <c r="AZ45"/>
      <c r="BA45"/>
      <c r="BB45" s="14"/>
    </row>
    <row r="46" spans="1:54" x14ac:dyDescent="0.25">
      <c r="A46" s="1" t="str">
        <f>IF(A45&lt;'Project Information'!B$11,A45+1,"")</f>
        <v/>
      </c>
      <c r="B46" s="22">
        <v>0</v>
      </c>
      <c r="C46" s="22">
        <v>0</v>
      </c>
      <c r="D46" s="8">
        <f t="shared" si="6"/>
        <v>0</v>
      </c>
      <c r="G46" s="213" t="s">
        <v>476</v>
      </c>
      <c r="H46">
        <v>3.67</v>
      </c>
      <c r="I46">
        <v>1.18</v>
      </c>
      <c r="J46">
        <v>32.1</v>
      </c>
      <c r="K46">
        <v>2.4900000000000002</v>
      </c>
      <c r="L46">
        <v>67.900000000000006</v>
      </c>
      <c r="M46" s="213" t="s">
        <v>476</v>
      </c>
      <c r="N46">
        <v>2.87</v>
      </c>
      <c r="O46">
        <v>0.8</v>
      </c>
      <c r="P46">
        <v>27.812000000000001</v>
      </c>
      <c r="Q46">
        <v>2.0699999999999998</v>
      </c>
      <c r="R46">
        <v>72.188000000000002</v>
      </c>
      <c r="S46" s="214">
        <f t="shared" si="3"/>
        <v>0.21798365122615804</v>
      </c>
      <c r="T46" s="214">
        <f t="shared" si="4"/>
        <v>0.32203389830508466</v>
      </c>
      <c r="U46" s="214">
        <f t="shared" si="5"/>
        <v>0.16867469879518082</v>
      </c>
      <c r="V46"/>
      <c r="W46"/>
      <c r="X46"/>
      <c r="Y46"/>
      <c r="Z46"/>
      <c r="AA46"/>
      <c r="AB46"/>
      <c r="AC46"/>
      <c r="AD46"/>
      <c r="AE46"/>
      <c r="AF46"/>
      <c r="AG46"/>
      <c r="AH46"/>
      <c r="AI46"/>
      <c r="AJ46"/>
      <c r="AK46"/>
      <c r="AL46"/>
      <c r="AM46"/>
      <c r="AN46"/>
      <c r="AO46"/>
      <c r="AP46"/>
      <c r="AQ46"/>
      <c r="AR46"/>
      <c r="AS46"/>
      <c r="AT46"/>
      <c r="AU46"/>
      <c r="AV46"/>
      <c r="AW46"/>
      <c r="AX46"/>
      <c r="AY46"/>
      <c r="AZ46"/>
      <c r="BA46"/>
      <c r="BB46" s="14"/>
    </row>
    <row r="47" spans="1:54" x14ac:dyDescent="0.25">
      <c r="A47" s="1" t="str">
        <f>IF(A46&lt;'Project Information'!B$11,A46+1,"")</f>
        <v/>
      </c>
      <c r="B47" s="22">
        <v>0</v>
      </c>
      <c r="C47" s="22">
        <v>0</v>
      </c>
      <c r="D47" s="8">
        <f t="shared" si="6"/>
        <v>0</v>
      </c>
      <c r="G47" s="213" t="s">
        <v>477</v>
      </c>
      <c r="H47">
        <v>3.74</v>
      </c>
      <c r="I47">
        <v>1.2</v>
      </c>
      <c r="J47">
        <v>32.1</v>
      </c>
      <c r="K47">
        <v>2.54</v>
      </c>
      <c r="L47">
        <v>67.900000000000006</v>
      </c>
      <c r="M47" s="213" t="s">
        <v>477</v>
      </c>
      <c r="N47">
        <v>2.96</v>
      </c>
      <c r="O47">
        <v>0.82</v>
      </c>
      <c r="P47">
        <v>27.82</v>
      </c>
      <c r="Q47">
        <v>2.13</v>
      </c>
      <c r="R47">
        <v>72.180000000000007</v>
      </c>
      <c r="S47" s="214">
        <f t="shared" si="3"/>
        <v>0.20855614973262038</v>
      </c>
      <c r="T47" s="214">
        <f t="shared" si="4"/>
        <v>0.31666666666666665</v>
      </c>
      <c r="U47" s="214">
        <f t="shared" si="5"/>
        <v>0.16141732283464572</v>
      </c>
      <c r="V47"/>
      <c r="W47"/>
      <c r="X47"/>
      <c r="Y47"/>
      <c r="Z47"/>
      <c r="AA47"/>
      <c r="AB47"/>
      <c r="AC47"/>
      <c r="AD47"/>
      <c r="AE47"/>
      <c r="AF47"/>
      <c r="AG47"/>
      <c r="AH47"/>
      <c r="AI47"/>
      <c r="AJ47"/>
      <c r="AK47"/>
      <c r="AL47"/>
      <c r="AM47"/>
      <c r="AN47"/>
      <c r="AO47"/>
      <c r="AP47"/>
      <c r="AQ47"/>
      <c r="AR47"/>
      <c r="AS47"/>
      <c r="AT47"/>
      <c r="AU47"/>
      <c r="AV47"/>
      <c r="AW47"/>
      <c r="AX47"/>
      <c r="AY47"/>
      <c r="AZ47"/>
      <c r="BA47"/>
      <c r="BB47" s="14"/>
    </row>
    <row r="48" spans="1:54" x14ac:dyDescent="0.25">
      <c r="A48" s="1" t="str">
        <f>IF(A47&lt;'Project Information'!B$11,A47+1,"")</f>
        <v/>
      </c>
      <c r="B48" s="22">
        <v>0</v>
      </c>
      <c r="C48" s="22">
        <v>0</v>
      </c>
      <c r="D48" s="8">
        <f t="shared" si="6"/>
        <v>0</v>
      </c>
      <c r="G48" s="213" t="s">
        <v>478</v>
      </c>
      <c r="H48">
        <v>3.81</v>
      </c>
      <c r="I48">
        <v>1.22</v>
      </c>
      <c r="J48">
        <v>32.1</v>
      </c>
      <c r="K48">
        <v>2.59</v>
      </c>
      <c r="L48">
        <v>67.900000000000006</v>
      </c>
      <c r="M48" s="213" t="s">
        <v>478</v>
      </c>
      <c r="N48">
        <v>3.04</v>
      </c>
      <c r="O48">
        <v>0.85</v>
      </c>
      <c r="P48">
        <v>27.827999999999999</v>
      </c>
      <c r="Q48">
        <v>2.2000000000000002</v>
      </c>
      <c r="R48">
        <v>72.171999999999997</v>
      </c>
      <c r="S48" s="214">
        <f t="shared" si="3"/>
        <v>0.20209973753280841</v>
      </c>
      <c r="T48" s="214">
        <f t="shared" si="4"/>
        <v>0.30327868852459017</v>
      </c>
      <c r="U48" s="214">
        <f t="shared" si="5"/>
        <v>0.1505791505791505</v>
      </c>
      <c r="V48"/>
      <c r="W48"/>
      <c r="X48"/>
      <c r="Y48"/>
      <c r="Z48"/>
      <c r="AA48"/>
      <c r="AB48"/>
      <c r="AC48"/>
      <c r="AD48"/>
      <c r="AE48"/>
      <c r="AF48"/>
      <c r="AG48"/>
      <c r="AH48"/>
      <c r="AI48"/>
      <c r="AJ48"/>
      <c r="AK48"/>
      <c r="AL48"/>
      <c r="AM48"/>
      <c r="AN48"/>
      <c r="AO48"/>
      <c r="AP48"/>
      <c r="AQ48"/>
      <c r="AR48"/>
      <c r="AS48"/>
      <c r="AT48"/>
      <c r="AU48"/>
      <c r="AV48"/>
      <c r="AW48"/>
      <c r="AX48"/>
      <c r="AY48"/>
      <c r="AZ48"/>
      <c r="BA48"/>
      <c r="BB48" s="14"/>
    </row>
    <row r="49" spans="1:54" x14ac:dyDescent="0.25">
      <c r="A49" s="1" t="str">
        <f>IF(A48&lt;'Project Information'!B$11,A48+1,"")</f>
        <v/>
      </c>
      <c r="B49" s="22">
        <v>0</v>
      </c>
      <c r="C49" s="22">
        <v>0</v>
      </c>
      <c r="D49" s="8">
        <f t="shared" si="6"/>
        <v>0</v>
      </c>
      <c r="G49" s="213" t="s">
        <v>479</v>
      </c>
      <c r="H49">
        <v>3.88</v>
      </c>
      <c r="I49">
        <v>1.25</v>
      </c>
      <c r="J49">
        <v>32.1</v>
      </c>
      <c r="K49">
        <v>2.64</v>
      </c>
      <c r="L49">
        <v>67.900000000000006</v>
      </c>
      <c r="M49" s="213" t="s">
        <v>479</v>
      </c>
      <c r="N49">
        <v>3.13</v>
      </c>
      <c r="O49">
        <v>0.87</v>
      </c>
      <c r="P49">
        <v>27.834</v>
      </c>
      <c r="Q49">
        <v>2.2599999999999998</v>
      </c>
      <c r="R49">
        <v>72.165999999999997</v>
      </c>
      <c r="S49" s="214">
        <f t="shared" si="3"/>
        <v>0.19329896907216493</v>
      </c>
      <c r="T49" s="214">
        <f t="shared" si="4"/>
        <v>0.30400000000000005</v>
      </c>
      <c r="U49" s="214">
        <f t="shared" si="5"/>
        <v>0.14393939393939403</v>
      </c>
      <c r="V49"/>
      <c r="W49"/>
      <c r="X49"/>
      <c r="Y49"/>
      <c r="Z49"/>
      <c r="AA49"/>
      <c r="AB49"/>
      <c r="AC49"/>
      <c r="AD49"/>
      <c r="AE49"/>
      <c r="AF49"/>
      <c r="AG49"/>
      <c r="AH49"/>
      <c r="AI49"/>
      <c r="AJ49"/>
      <c r="AK49"/>
      <c r="AL49"/>
      <c r="AM49"/>
      <c r="AN49"/>
      <c r="AO49"/>
      <c r="AP49"/>
      <c r="AQ49"/>
      <c r="AR49"/>
      <c r="AS49"/>
      <c r="AT49"/>
      <c r="AU49"/>
      <c r="AV49"/>
      <c r="AW49"/>
      <c r="AX49"/>
      <c r="AY49"/>
      <c r="AZ49"/>
      <c r="BA49"/>
      <c r="BB49" s="14"/>
    </row>
    <row r="50" spans="1:54" x14ac:dyDescent="0.25">
      <c r="A50" s="1" t="str">
        <f>IF(A49&lt;'Project Information'!B$11,A49+1,"")</f>
        <v/>
      </c>
      <c r="B50" s="22">
        <v>0</v>
      </c>
      <c r="C50" s="22">
        <v>0</v>
      </c>
      <c r="D50" s="8">
        <f t="shared" si="6"/>
        <v>0</v>
      </c>
      <c r="G50" s="213" t="s">
        <v>480</v>
      </c>
      <c r="H50">
        <v>3.96</v>
      </c>
      <c r="I50">
        <v>1.27</v>
      </c>
      <c r="J50">
        <v>32.1</v>
      </c>
      <c r="K50">
        <v>2.69</v>
      </c>
      <c r="L50">
        <v>67.900000000000006</v>
      </c>
      <c r="M50" s="213" t="s">
        <v>480</v>
      </c>
      <c r="N50">
        <v>3.22</v>
      </c>
      <c r="O50">
        <v>0.9</v>
      </c>
      <c r="P50">
        <v>27.838999999999999</v>
      </c>
      <c r="Q50">
        <v>2.33</v>
      </c>
      <c r="R50">
        <v>72.161000000000001</v>
      </c>
      <c r="S50" s="214">
        <f t="shared" si="3"/>
        <v>0.18686868686868685</v>
      </c>
      <c r="T50" s="214">
        <f t="shared" si="4"/>
        <v>0.29133858267716539</v>
      </c>
      <c r="U50" s="214">
        <f t="shared" si="5"/>
        <v>0.13382899628252787</v>
      </c>
      <c r="V50"/>
      <c r="W50"/>
      <c r="X50"/>
      <c r="Y50"/>
      <c r="Z50"/>
      <c r="AA50"/>
      <c r="AB50"/>
      <c r="AC50"/>
      <c r="AD50"/>
      <c r="AE50"/>
      <c r="AF50"/>
      <c r="AG50"/>
      <c r="AH50"/>
      <c r="AI50"/>
      <c r="AJ50"/>
      <c r="AK50"/>
      <c r="AL50"/>
      <c r="AM50"/>
      <c r="AN50"/>
      <c r="AO50"/>
      <c r="AP50"/>
      <c r="AQ50"/>
      <c r="AR50"/>
      <c r="AS50"/>
      <c r="AT50"/>
      <c r="AU50"/>
      <c r="AV50"/>
      <c r="AW50"/>
      <c r="AX50"/>
      <c r="AY50"/>
      <c r="AZ50"/>
      <c r="BA50"/>
      <c r="BB50" s="14"/>
    </row>
    <row r="51" spans="1:54" x14ac:dyDescent="0.25">
      <c r="A51" s="1" t="str">
        <f>IF(A50&lt;'Project Information'!B$11,A50+1,"")</f>
        <v/>
      </c>
      <c r="B51" s="22">
        <v>0</v>
      </c>
      <c r="C51" s="22">
        <v>0</v>
      </c>
      <c r="D51" s="9">
        <f t="shared" si="6"/>
        <v>0</v>
      </c>
      <c r="G51" s="213" t="s">
        <v>21</v>
      </c>
      <c r="H51">
        <v>81.66</v>
      </c>
      <c r="I51">
        <v>26.21</v>
      </c>
      <c r="J51">
        <v>32.1</v>
      </c>
      <c r="K51">
        <v>55.45</v>
      </c>
      <c r="L51">
        <v>67.900000000000006</v>
      </c>
      <c r="M51" s="213" t="s">
        <v>21</v>
      </c>
      <c r="N51">
        <v>57.57</v>
      </c>
      <c r="O51">
        <v>15.9</v>
      </c>
      <c r="P51">
        <v>27.611999999999998</v>
      </c>
      <c r="Q51">
        <v>41.68</v>
      </c>
      <c r="R51">
        <v>72.388000000000005</v>
      </c>
      <c r="S51" s="214">
        <f t="shared" si="3"/>
        <v>0.29500367376928727</v>
      </c>
      <c r="T51" s="214">
        <f t="shared" si="4"/>
        <v>0.39336131247615413</v>
      </c>
      <c r="U51" s="214">
        <f t="shared" si="5"/>
        <v>0.24833183047790808</v>
      </c>
      <c r="V51"/>
      <c r="W51"/>
      <c r="X51"/>
      <c r="Y51"/>
      <c r="Z51"/>
      <c r="AA51"/>
      <c r="AB51"/>
      <c r="AC51"/>
      <c r="AD51"/>
      <c r="AE51"/>
      <c r="AF51"/>
      <c r="AG51"/>
      <c r="AH51"/>
      <c r="AI51"/>
      <c r="AJ51"/>
      <c r="AK51"/>
      <c r="AL51"/>
      <c r="AM51"/>
      <c r="AN51"/>
      <c r="AO51"/>
      <c r="AP51"/>
      <c r="AQ51"/>
      <c r="AR51"/>
      <c r="AS51"/>
      <c r="AT51"/>
      <c r="AU51"/>
      <c r="AV51"/>
      <c r="AW51"/>
      <c r="AX51"/>
      <c r="AY51"/>
      <c r="AZ51"/>
      <c r="BA51"/>
      <c r="BB51" s="14"/>
    </row>
    <row r="52" spans="1:54" x14ac:dyDescent="0.25">
      <c r="A52" s="31"/>
      <c r="B52" s="32"/>
      <c r="C52" s="32"/>
      <c r="D52" s="29"/>
      <c r="G52" s="213" t="s">
        <v>481</v>
      </c>
      <c r="H52">
        <v>3.02</v>
      </c>
      <c r="I52">
        <v>0.97</v>
      </c>
      <c r="J52">
        <v>32.1</v>
      </c>
      <c r="K52">
        <v>2.0499999999999998</v>
      </c>
      <c r="L52">
        <v>67.900000000000006</v>
      </c>
      <c r="M52" s="213" t="s">
        <v>481</v>
      </c>
      <c r="N52">
        <v>2.13</v>
      </c>
      <c r="O52">
        <v>0.59</v>
      </c>
      <c r="P52">
        <v>27.611999999999998</v>
      </c>
      <c r="Q52">
        <v>1.54</v>
      </c>
      <c r="R52">
        <v>72.388000000000005</v>
      </c>
      <c r="S52" s="214">
        <f t="shared" si="3"/>
        <v>0.29470198675496695</v>
      </c>
      <c r="T52" s="214">
        <f t="shared" si="4"/>
        <v>0.39175257731958768</v>
      </c>
      <c r="U52" s="214">
        <f t="shared" si="5"/>
        <v>0.24878048780487794</v>
      </c>
      <c r="V52"/>
      <c r="W52"/>
      <c r="X52"/>
      <c r="Y52"/>
      <c r="Z52"/>
      <c r="AA52"/>
      <c r="AB52"/>
      <c r="AC52"/>
      <c r="AD52"/>
      <c r="AE52"/>
      <c r="AF52"/>
      <c r="AG52"/>
      <c r="AH52"/>
      <c r="AI52"/>
      <c r="AJ52"/>
      <c r="AK52"/>
      <c r="AL52"/>
      <c r="AM52"/>
      <c r="AN52"/>
      <c r="AO52"/>
      <c r="AP52"/>
      <c r="AQ52"/>
      <c r="AR52"/>
      <c r="AS52"/>
      <c r="AT52"/>
      <c r="AU52"/>
      <c r="AV52"/>
      <c r="AW52"/>
      <c r="AX52"/>
      <c r="AY52"/>
      <c r="AZ52"/>
      <c r="BA52"/>
      <c r="BB52" s="14"/>
    </row>
    <row r="53" spans="1:54" x14ac:dyDescent="0.25">
      <c r="B53" s="28"/>
      <c r="C53" s="28"/>
      <c r="D53" s="29"/>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s="14"/>
    </row>
    <row r="54" spans="1:54" x14ac:dyDescent="0.25">
      <c r="B54" s="28"/>
      <c r="C54" s="28"/>
      <c r="D54" s="29"/>
      <c r="G54" s="215" t="s">
        <v>482</v>
      </c>
      <c r="H54"/>
      <c r="I54"/>
      <c r="J54"/>
      <c r="K54"/>
      <c r="L54"/>
      <c r="M54" s="215" t="s">
        <v>483</v>
      </c>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s="14"/>
    </row>
    <row r="55" spans="1:54" x14ac:dyDescent="0.25">
      <c r="B55" s="28"/>
      <c r="C55" s="28"/>
      <c r="D55" s="29"/>
      <c r="G55" s="211" t="s">
        <v>4</v>
      </c>
      <c r="H55" s="207" t="s">
        <v>446</v>
      </c>
      <c r="I55" s="207" t="s">
        <v>447</v>
      </c>
      <c r="J55" s="207" t="s">
        <v>448</v>
      </c>
      <c r="K55" s="207" t="s">
        <v>449</v>
      </c>
      <c r="L55" s="207" t="s">
        <v>450</v>
      </c>
      <c r="M55" s="211" t="s">
        <v>4</v>
      </c>
      <c r="N55" s="207" t="s">
        <v>446</v>
      </c>
      <c r="O55" s="207" t="s">
        <v>447</v>
      </c>
      <c r="P55" s="207" t="s">
        <v>448</v>
      </c>
      <c r="Q55" s="207" t="s">
        <v>449</v>
      </c>
      <c r="R55" s="207" t="s">
        <v>450</v>
      </c>
      <c r="S55" s="212" t="s">
        <v>451</v>
      </c>
      <c r="T55" s="207" t="s">
        <v>452</v>
      </c>
      <c r="U55" s="207" t="s">
        <v>453</v>
      </c>
      <c r="V55"/>
      <c r="W55"/>
      <c r="X55"/>
      <c r="Y55"/>
      <c r="Z55"/>
      <c r="AA55"/>
      <c r="AB55"/>
      <c r="AC55"/>
      <c r="AD55"/>
      <c r="AE55"/>
      <c r="AF55"/>
      <c r="AG55"/>
      <c r="AH55"/>
      <c r="AI55"/>
      <c r="AJ55"/>
      <c r="AK55"/>
      <c r="AL55"/>
      <c r="AM55"/>
      <c r="AN55"/>
      <c r="AO55"/>
      <c r="AP55"/>
      <c r="AQ55"/>
      <c r="AR55"/>
      <c r="AS55"/>
      <c r="AT55"/>
      <c r="AU55"/>
      <c r="AV55"/>
      <c r="AW55"/>
      <c r="AX55"/>
      <c r="AY55"/>
      <c r="AZ55"/>
      <c r="BA55"/>
      <c r="BB55" s="14"/>
    </row>
    <row r="56" spans="1:54" x14ac:dyDescent="0.25">
      <c r="B56" s="28"/>
      <c r="C56" s="28"/>
      <c r="D56" s="29"/>
      <c r="G56" s="213" t="s">
        <v>454</v>
      </c>
      <c r="H56">
        <v>7.71</v>
      </c>
      <c r="I56">
        <v>2.48</v>
      </c>
      <c r="J56">
        <v>32.1</v>
      </c>
      <c r="K56">
        <v>5.24</v>
      </c>
      <c r="L56">
        <v>67.900000000000006</v>
      </c>
      <c r="M56" s="213" t="s">
        <v>454</v>
      </c>
      <c r="N56">
        <v>4.72</v>
      </c>
      <c r="O56">
        <v>1.36</v>
      </c>
      <c r="P56">
        <v>28.757999999999999</v>
      </c>
      <c r="Q56">
        <v>3.37</v>
      </c>
      <c r="R56">
        <v>71.242000000000004</v>
      </c>
      <c r="S56" s="214">
        <f>1 - (N56/H56)</f>
        <v>0.38780804150453962</v>
      </c>
      <c r="T56" s="214">
        <f>1 - (O56/I56)</f>
        <v>0.45161290322580638</v>
      </c>
      <c r="U56" s="214">
        <f>1 - (Q56/K56)</f>
        <v>0.35687022900763354</v>
      </c>
      <c r="V56"/>
      <c r="W56"/>
      <c r="X56"/>
      <c r="Y56"/>
      <c r="Z56"/>
      <c r="AA56"/>
      <c r="AB56"/>
      <c r="AC56"/>
      <c r="AD56"/>
      <c r="AE56"/>
      <c r="AF56"/>
      <c r="AG56"/>
      <c r="AH56"/>
      <c r="AI56"/>
      <c r="AJ56"/>
      <c r="AK56"/>
      <c r="AL56"/>
      <c r="AM56"/>
      <c r="AN56"/>
      <c r="AO56"/>
      <c r="AP56"/>
      <c r="AQ56"/>
      <c r="AR56"/>
      <c r="AS56"/>
      <c r="AT56"/>
      <c r="AU56"/>
      <c r="AV56"/>
      <c r="AW56"/>
      <c r="AX56"/>
      <c r="AY56"/>
      <c r="AZ56"/>
      <c r="BA56"/>
      <c r="BB56" s="14"/>
    </row>
    <row r="57" spans="1:54" x14ac:dyDescent="0.25">
      <c r="B57" s="28"/>
      <c r="C57" s="28"/>
      <c r="D57" s="29"/>
      <c r="G57" s="213" t="s">
        <v>455</v>
      </c>
      <c r="H57">
        <v>7.78</v>
      </c>
      <c r="I57">
        <v>2.5</v>
      </c>
      <c r="J57">
        <v>32.1</v>
      </c>
      <c r="K57">
        <v>5.28</v>
      </c>
      <c r="L57">
        <v>67.900000000000006</v>
      </c>
      <c r="M57" s="213" t="s">
        <v>455</v>
      </c>
      <c r="N57">
        <v>4.9000000000000004</v>
      </c>
      <c r="O57">
        <v>1.41</v>
      </c>
      <c r="P57">
        <v>28.754999999999999</v>
      </c>
      <c r="Q57">
        <v>3.49</v>
      </c>
      <c r="R57">
        <v>71.245000000000005</v>
      </c>
      <c r="S57" s="214">
        <f t="shared" ref="S57:S84" si="7">1 - (N57/H57)</f>
        <v>0.37017994858611825</v>
      </c>
      <c r="T57" s="214">
        <f t="shared" ref="T57:T84" si="8">1 - (O57/I57)</f>
        <v>0.43600000000000005</v>
      </c>
      <c r="U57" s="214">
        <f t="shared" ref="U57:U84" si="9">1 - (Q57/K57)</f>
        <v>0.33901515151515149</v>
      </c>
      <c r="V57"/>
      <c r="W57"/>
      <c r="X57"/>
      <c r="Y57"/>
      <c r="Z57"/>
      <c r="AA57"/>
      <c r="AB57"/>
      <c r="AC57"/>
      <c r="AD57"/>
      <c r="AE57"/>
      <c r="AF57"/>
      <c r="AG57"/>
      <c r="AH57"/>
      <c r="AI57"/>
      <c r="AJ57"/>
      <c r="AK57"/>
      <c r="AL57"/>
      <c r="AM57"/>
      <c r="AN57"/>
      <c r="AO57"/>
      <c r="AP57"/>
      <c r="AQ57"/>
      <c r="AR57"/>
      <c r="AS57"/>
      <c r="AT57"/>
      <c r="AU57"/>
      <c r="AV57"/>
      <c r="AW57"/>
      <c r="AX57"/>
      <c r="AY57"/>
      <c r="AZ57"/>
      <c r="BA57"/>
      <c r="BB57" s="14"/>
    </row>
    <row r="58" spans="1:54" x14ac:dyDescent="0.25">
      <c r="B58" s="28"/>
      <c r="C58" s="28"/>
      <c r="D58" s="29"/>
      <c r="G58" s="213" t="s">
        <v>456</v>
      </c>
      <c r="H58">
        <v>7.85</v>
      </c>
      <c r="I58">
        <v>2.52</v>
      </c>
      <c r="J58">
        <v>32.1</v>
      </c>
      <c r="K58">
        <v>5.33</v>
      </c>
      <c r="L58">
        <v>67.900000000000006</v>
      </c>
      <c r="M58" s="213" t="s">
        <v>456</v>
      </c>
      <c r="N58">
        <v>5.07</v>
      </c>
      <c r="O58">
        <v>1.46</v>
      </c>
      <c r="P58">
        <v>28.751999999999999</v>
      </c>
      <c r="Q58">
        <v>3.61</v>
      </c>
      <c r="R58">
        <v>71.248000000000005</v>
      </c>
      <c r="S58" s="214">
        <f t="shared" si="7"/>
        <v>0.35414012738853495</v>
      </c>
      <c r="T58" s="214">
        <f t="shared" si="8"/>
        <v>0.42063492063492069</v>
      </c>
      <c r="U58" s="214">
        <f t="shared" si="9"/>
        <v>0.32270168855534709</v>
      </c>
      <c r="V58"/>
      <c r="W58"/>
      <c r="X58"/>
      <c r="Y58"/>
      <c r="Z58"/>
      <c r="AA58"/>
      <c r="AB58"/>
      <c r="AC58"/>
      <c r="AD58"/>
      <c r="AE58"/>
      <c r="AF58"/>
      <c r="AG58"/>
      <c r="AH58"/>
      <c r="AI58"/>
      <c r="AJ58"/>
      <c r="AK58"/>
      <c r="AL58"/>
      <c r="AM58"/>
      <c r="AN58"/>
      <c r="AO58"/>
      <c r="AP58"/>
      <c r="AQ58"/>
      <c r="AR58"/>
      <c r="AS58"/>
      <c r="AT58"/>
      <c r="AU58"/>
      <c r="AV58"/>
      <c r="AW58"/>
      <c r="AX58"/>
      <c r="AY58"/>
      <c r="AZ58"/>
      <c r="BA58"/>
      <c r="BB58" s="14"/>
    </row>
    <row r="59" spans="1:54" x14ac:dyDescent="0.25">
      <c r="B59" s="28"/>
      <c r="C59" s="28"/>
      <c r="D59" s="29"/>
      <c r="G59" s="213" t="s">
        <v>457</v>
      </c>
      <c r="H59">
        <v>7.92</v>
      </c>
      <c r="I59">
        <v>2.54</v>
      </c>
      <c r="J59">
        <v>32.1</v>
      </c>
      <c r="K59">
        <v>5.38</v>
      </c>
      <c r="L59">
        <v>67.900000000000006</v>
      </c>
      <c r="M59" s="213" t="s">
        <v>457</v>
      </c>
      <c r="N59">
        <v>5.24</v>
      </c>
      <c r="O59">
        <v>1.51</v>
      </c>
      <c r="P59">
        <v>28.747</v>
      </c>
      <c r="Q59">
        <v>3.73</v>
      </c>
      <c r="R59">
        <v>71.253</v>
      </c>
      <c r="S59" s="214">
        <f t="shared" si="7"/>
        <v>0.33838383838383834</v>
      </c>
      <c r="T59" s="214">
        <f t="shared" si="8"/>
        <v>0.4055118110236221</v>
      </c>
      <c r="U59" s="214">
        <f t="shared" si="9"/>
        <v>0.30669144981412644</v>
      </c>
      <c r="V59"/>
      <c r="W59"/>
      <c r="X59"/>
      <c r="Y59"/>
      <c r="Z59"/>
      <c r="AA59"/>
      <c r="AB59"/>
      <c r="AC59"/>
      <c r="AD59"/>
      <c r="AE59"/>
      <c r="AF59"/>
      <c r="AG59"/>
      <c r="AH59"/>
      <c r="AI59"/>
      <c r="AJ59"/>
      <c r="AK59"/>
      <c r="AL59"/>
      <c r="AM59"/>
      <c r="AN59"/>
      <c r="AO59"/>
      <c r="AP59"/>
      <c r="AQ59"/>
      <c r="AR59"/>
      <c r="AS59"/>
      <c r="AT59"/>
      <c r="AU59"/>
      <c r="AV59"/>
      <c r="AW59"/>
      <c r="AX59"/>
      <c r="AY59"/>
      <c r="AZ59"/>
      <c r="BA59"/>
      <c r="BB59" s="14"/>
    </row>
    <row r="60" spans="1:54" x14ac:dyDescent="0.25">
      <c r="B60" s="28"/>
      <c r="C60" s="28"/>
      <c r="D60" s="29"/>
      <c r="G60" s="213" t="s">
        <v>458</v>
      </c>
      <c r="H60">
        <v>7.98</v>
      </c>
      <c r="I60">
        <v>2.56</v>
      </c>
      <c r="J60">
        <v>32.1</v>
      </c>
      <c r="K60">
        <v>5.42</v>
      </c>
      <c r="L60">
        <v>67.900000000000006</v>
      </c>
      <c r="M60" s="213" t="s">
        <v>458</v>
      </c>
      <c r="N60">
        <v>5.42</v>
      </c>
      <c r="O60">
        <v>1.56</v>
      </c>
      <c r="P60">
        <v>28.741</v>
      </c>
      <c r="Q60">
        <v>3.86</v>
      </c>
      <c r="R60">
        <v>71.259</v>
      </c>
      <c r="S60" s="214">
        <f t="shared" si="7"/>
        <v>0.32080200501253142</v>
      </c>
      <c r="T60" s="214">
        <f t="shared" si="8"/>
        <v>0.390625</v>
      </c>
      <c r="U60" s="214">
        <f t="shared" si="9"/>
        <v>0.28782287822878228</v>
      </c>
      <c r="V60"/>
      <c r="W60"/>
      <c r="X60"/>
      <c r="Y60"/>
      <c r="Z60"/>
      <c r="AA60"/>
      <c r="AB60"/>
      <c r="AC60"/>
      <c r="AD60"/>
      <c r="AE60"/>
      <c r="AF60"/>
      <c r="AG60"/>
      <c r="AH60"/>
      <c r="AI60"/>
      <c r="AJ60"/>
      <c r="AK60"/>
      <c r="AL60"/>
      <c r="AM60"/>
      <c r="AN60"/>
      <c r="AO60"/>
      <c r="AP60"/>
      <c r="AQ60"/>
      <c r="AR60"/>
      <c r="AS60"/>
      <c r="AT60"/>
      <c r="AU60"/>
      <c r="AV60"/>
      <c r="AW60"/>
      <c r="AX60"/>
      <c r="AY60"/>
      <c r="AZ60"/>
      <c r="BA60"/>
      <c r="BB60" s="14"/>
    </row>
    <row r="61" spans="1:54" x14ac:dyDescent="0.25">
      <c r="B61" s="28"/>
      <c r="C61" s="28"/>
      <c r="D61" s="29"/>
      <c r="G61" s="213" t="s">
        <v>459</v>
      </c>
      <c r="H61">
        <v>8.0500000000000007</v>
      </c>
      <c r="I61">
        <v>2.58</v>
      </c>
      <c r="J61">
        <v>32.1</v>
      </c>
      <c r="K61">
        <v>5.47</v>
      </c>
      <c r="L61">
        <v>67.900000000000006</v>
      </c>
      <c r="M61" s="213" t="s">
        <v>459</v>
      </c>
      <c r="N61">
        <v>5.59</v>
      </c>
      <c r="O61">
        <v>1.61</v>
      </c>
      <c r="P61">
        <v>28.734000000000002</v>
      </c>
      <c r="Q61">
        <v>3.98</v>
      </c>
      <c r="R61">
        <v>71.266000000000005</v>
      </c>
      <c r="S61" s="214">
        <f t="shared" si="7"/>
        <v>0.30559006211180129</v>
      </c>
      <c r="T61" s="214">
        <f t="shared" si="8"/>
        <v>0.37596899224806202</v>
      </c>
      <c r="U61" s="214">
        <f t="shared" si="9"/>
        <v>0.2723948811700182</v>
      </c>
      <c r="V61"/>
      <c r="W61"/>
      <c r="X61"/>
      <c r="Y61"/>
      <c r="Z61"/>
      <c r="AA61"/>
      <c r="AB61"/>
      <c r="AC61"/>
      <c r="AD61"/>
      <c r="AE61"/>
      <c r="AF61"/>
      <c r="AG61"/>
      <c r="AH61"/>
      <c r="AI61"/>
      <c r="AJ61"/>
      <c r="AK61"/>
      <c r="AL61"/>
      <c r="AM61"/>
      <c r="AN61"/>
      <c r="AO61"/>
      <c r="AP61"/>
      <c r="AQ61"/>
      <c r="AR61"/>
      <c r="AS61"/>
      <c r="AT61"/>
      <c r="AU61"/>
      <c r="AV61"/>
      <c r="AW61"/>
      <c r="AX61"/>
      <c r="AY61"/>
      <c r="AZ61"/>
      <c r="BA61"/>
      <c r="BB61" s="14"/>
    </row>
    <row r="62" spans="1:54" x14ac:dyDescent="0.25">
      <c r="G62" s="213" t="s">
        <v>460</v>
      </c>
      <c r="H62">
        <v>8.1199999999999992</v>
      </c>
      <c r="I62">
        <v>2.61</v>
      </c>
      <c r="J62">
        <v>32.1</v>
      </c>
      <c r="K62">
        <v>5.51</v>
      </c>
      <c r="L62">
        <v>67.900000000000006</v>
      </c>
      <c r="M62" s="213" t="s">
        <v>460</v>
      </c>
      <c r="N62">
        <v>5.77</v>
      </c>
      <c r="O62">
        <v>1.66</v>
      </c>
      <c r="P62">
        <v>28.725999999999999</v>
      </c>
      <c r="Q62">
        <v>4.1100000000000003</v>
      </c>
      <c r="R62">
        <v>71.274000000000001</v>
      </c>
      <c r="S62" s="214">
        <f t="shared" si="7"/>
        <v>0.28940886699507384</v>
      </c>
      <c r="T62" s="214">
        <f t="shared" si="8"/>
        <v>0.36398467432950188</v>
      </c>
      <c r="U62" s="214">
        <f t="shared" si="9"/>
        <v>0.2540834845735026</v>
      </c>
      <c r="V62"/>
      <c r="W62"/>
      <c r="X62"/>
      <c r="Y62"/>
      <c r="Z62"/>
      <c r="AA62"/>
      <c r="AB62"/>
      <c r="AC62"/>
      <c r="AD62"/>
      <c r="AE62"/>
      <c r="AF62"/>
      <c r="AG62"/>
      <c r="AH62"/>
      <c r="AI62"/>
      <c r="AJ62"/>
      <c r="AK62"/>
      <c r="AL62"/>
      <c r="AM62"/>
      <c r="AN62"/>
      <c r="AO62"/>
      <c r="AP62"/>
      <c r="AQ62"/>
      <c r="AR62"/>
      <c r="AS62"/>
      <c r="AT62"/>
      <c r="AU62"/>
      <c r="AV62"/>
      <c r="AW62"/>
      <c r="AX62"/>
      <c r="AY62"/>
      <c r="AZ62"/>
      <c r="BA62"/>
      <c r="BB62" s="14"/>
    </row>
    <row r="63" spans="1:54" x14ac:dyDescent="0.25">
      <c r="G63" s="213" t="s">
        <v>461</v>
      </c>
      <c r="H63">
        <v>8.18</v>
      </c>
      <c r="I63">
        <v>2.63</v>
      </c>
      <c r="J63">
        <v>32.1</v>
      </c>
      <c r="K63">
        <v>5.56</v>
      </c>
      <c r="L63">
        <v>67.900000000000006</v>
      </c>
      <c r="M63" s="213" t="s">
        <v>461</v>
      </c>
      <c r="N63">
        <v>5.95</v>
      </c>
      <c r="O63">
        <v>1.71</v>
      </c>
      <c r="P63">
        <v>28.718</v>
      </c>
      <c r="Q63">
        <v>4.24</v>
      </c>
      <c r="R63">
        <v>71.281999999999996</v>
      </c>
      <c r="S63" s="214">
        <f t="shared" si="7"/>
        <v>0.27261613691931541</v>
      </c>
      <c r="T63" s="214">
        <f t="shared" si="8"/>
        <v>0.34980988593155893</v>
      </c>
      <c r="U63" s="214">
        <f t="shared" si="9"/>
        <v>0.2374100719424459</v>
      </c>
      <c r="V63"/>
      <c r="W63"/>
      <c r="X63"/>
      <c r="Y63"/>
      <c r="Z63"/>
      <c r="AA63"/>
      <c r="AB63"/>
      <c r="AC63"/>
      <c r="AD63"/>
      <c r="AE63"/>
      <c r="AF63"/>
      <c r="AG63"/>
      <c r="AH63"/>
      <c r="AI63"/>
      <c r="AJ63"/>
      <c r="AK63"/>
      <c r="AL63"/>
      <c r="AM63"/>
      <c r="AN63"/>
      <c r="AO63"/>
      <c r="AP63"/>
      <c r="AQ63"/>
      <c r="AR63"/>
      <c r="AS63"/>
      <c r="AT63"/>
      <c r="AU63"/>
      <c r="AV63"/>
      <c r="AW63"/>
      <c r="AX63"/>
      <c r="AY63"/>
      <c r="AZ63"/>
      <c r="BA63"/>
      <c r="BB63" s="14"/>
    </row>
    <row r="64" spans="1:54" x14ac:dyDescent="0.25">
      <c r="G64" s="213" t="s">
        <v>462</v>
      </c>
      <c r="H64">
        <v>8.25</v>
      </c>
      <c r="I64">
        <v>2.65</v>
      </c>
      <c r="J64">
        <v>32.1</v>
      </c>
      <c r="K64">
        <v>5.6</v>
      </c>
      <c r="L64">
        <v>67.900000000000006</v>
      </c>
      <c r="M64" s="213" t="s">
        <v>462</v>
      </c>
      <c r="N64">
        <v>6.13</v>
      </c>
      <c r="O64">
        <v>1.76</v>
      </c>
      <c r="P64">
        <v>28.707999999999998</v>
      </c>
      <c r="Q64">
        <v>4.37</v>
      </c>
      <c r="R64">
        <v>71.292000000000002</v>
      </c>
      <c r="S64" s="214">
        <f t="shared" si="7"/>
        <v>0.25696969696969696</v>
      </c>
      <c r="T64" s="214">
        <f t="shared" si="8"/>
        <v>0.33584905660377351</v>
      </c>
      <c r="U64" s="214">
        <f t="shared" si="9"/>
        <v>0.21964285714285703</v>
      </c>
      <c r="V64"/>
      <c r="W64"/>
      <c r="X64"/>
      <c r="Y64"/>
      <c r="Z64"/>
      <c r="AA64"/>
      <c r="AB64"/>
      <c r="AC64"/>
      <c r="AD64"/>
      <c r="AE64"/>
      <c r="AF64"/>
      <c r="AG64"/>
      <c r="AH64"/>
      <c r="AI64"/>
      <c r="AJ64"/>
      <c r="AK64"/>
      <c r="AL64"/>
      <c r="AM64"/>
      <c r="AN64"/>
      <c r="AO64"/>
      <c r="AP64"/>
      <c r="AQ64"/>
      <c r="AR64"/>
      <c r="AS64"/>
      <c r="AT64"/>
      <c r="AU64"/>
      <c r="AV64"/>
      <c r="AW64"/>
      <c r="AX64"/>
      <c r="AY64"/>
      <c r="AZ64"/>
      <c r="BA64"/>
      <c r="BB64" s="14"/>
    </row>
    <row r="65" spans="7:54" x14ac:dyDescent="0.25">
      <c r="G65" s="213" t="s">
        <v>463</v>
      </c>
      <c r="H65">
        <v>8.32</v>
      </c>
      <c r="I65">
        <v>2.67</v>
      </c>
      <c r="J65">
        <v>32.1</v>
      </c>
      <c r="K65">
        <v>5.65</v>
      </c>
      <c r="L65">
        <v>67.900000000000006</v>
      </c>
      <c r="M65" s="213" t="s">
        <v>463</v>
      </c>
      <c r="N65">
        <v>6.31</v>
      </c>
      <c r="O65">
        <v>1.81</v>
      </c>
      <c r="P65">
        <v>28.699000000000002</v>
      </c>
      <c r="Q65">
        <v>4.5</v>
      </c>
      <c r="R65">
        <v>71.301000000000002</v>
      </c>
      <c r="S65" s="214">
        <f t="shared" si="7"/>
        <v>0.24158653846153855</v>
      </c>
      <c r="T65" s="214">
        <f t="shared" si="8"/>
        <v>0.32209737827715357</v>
      </c>
      <c r="U65" s="214">
        <f t="shared" si="9"/>
        <v>0.20353982300884965</v>
      </c>
      <c r="V65"/>
      <c r="W65"/>
      <c r="X65"/>
      <c r="Y65"/>
      <c r="Z65"/>
      <c r="AA65"/>
      <c r="AB65"/>
      <c r="AC65"/>
      <c r="AD65"/>
      <c r="AE65"/>
      <c r="AF65"/>
      <c r="AG65"/>
      <c r="AH65"/>
      <c r="AI65"/>
      <c r="AJ65"/>
      <c r="AK65"/>
      <c r="AL65"/>
      <c r="AM65"/>
      <c r="AN65"/>
      <c r="AO65"/>
      <c r="AP65"/>
      <c r="AQ65"/>
      <c r="AR65"/>
      <c r="AS65"/>
      <c r="AT65"/>
      <c r="AU65"/>
      <c r="AV65"/>
      <c r="AW65"/>
      <c r="AX65"/>
      <c r="AY65"/>
      <c r="AZ65"/>
      <c r="BA65"/>
      <c r="BB65" s="14"/>
    </row>
    <row r="66" spans="7:54" x14ac:dyDescent="0.25">
      <c r="G66" s="213" t="s">
        <v>464</v>
      </c>
      <c r="H66">
        <v>8.3800000000000008</v>
      </c>
      <c r="I66">
        <v>2.69</v>
      </c>
      <c r="J66">
        <v>32.1</v>
      </c>
      <c r="K66">
        <v>5.69</v>
      </c>
      <c r="L66">
        <v>67.900000000000006</v>
      </c>
      <c r="M66" s="213" t="s">
        <v>464</v>
      </c>
      <c r="N66">
        <v>6.49</v>
      </c>
      <c r="O66">
        <v>1.86</v>
      </c>
      <c r="P66">
        <v>28.687999999999999</v>
      </c>
      <c r="Q66">
        <v>4.63</v>
      </c>
      <c r="R66">
        <v>71.311999999999998</v>
      </c>
      <c r="S66" s="214">
        <f t="shared" si="7"/>
        <v>0.22553699284009554</v>
      </c>
      <c r="T66" s="214">
        <f t="shared" si="8"/>
        <v>0.30855018587360594</v>
      </c>
      <c r="U66" s="214">
        <f t="shared" si="9"/>
        <v>0.18629173989455194</v>
      </c>
      <c r="V66"/>
      <c r="W66"/>
      <c r="X66"/>
      <c r="Y66"/>
      <c r="Z66"/>
      <c r="AA66"/>
      <c r="AB66"/>
      <c r="AC66"/>
      <c r="AD66"/>
      <c r="AE66"/>
      <c r="AF66"/>
      <c r="AG66"/>
      <c r="AH66"/>
      <c r="AI66"/>
      <c r="AJ66"/>
      <c r="AK66"/>
      <c r="AL66"/>
      <c r="AM66"/>
      <c r="AN66"/>
      <c r="AO66"/>
      <c r="AP66"/>
      <c r="AQ66"/>
      <c r="AR66"/>
      <c r="AS66"/>
      <c r="AT66"/>
      <c r="AU66"/>
      <c r="AV66"/>
      <c r="AW66"/>
      <c r="AX66"/>
      <c r="AY66"/>
      <c r="AZ66"/>
      <c r="BA66"/>
      <c r="BB66" s="14"/>
    </row>
    <row r="67" spans="7:54" x14ac:dyDescent="0.25">
      <c r="G67" s="213" t="s">
        <v>465</v>
      </c>
      <c r="H67">
        <v>8.4499999999999993</v>
      </c>
      <c r="I67">
        <v>2.71</v>
      </c>
      <c r="J67">
        <v>32.1</v>
      </c>
      <c r="K67">
        <v>5.74</v>
      </c>
      <c r="L67">
        <v>67.900000000000006</v>
      </c>
      <c r="M67" s="213" t="s">
        <v>465</v>
      </c>
      <c r="N67">
        <v>6.67</v>
      </c>
      <c r="O67">
        <v>1.91</v>
      </c>
      <c r="P67">
        <v>28.677</v>
      </c>
      <c r="Q67">
        <v>4.76</v>
      </c>
      <c r="R67">
        <v>71.322999999999993</v>
      </c>
      <c r="S67" s="214">
        <f t="shared" si="7"/>
        <v>0.21065088757396444</v>
      </c>
      <c r="T67" s="214">
        <f t="shared" si="8"/>
        <v>0.29520295202952029</v>
      </c>
      <c r="U67" s="214">
        <f t="shared" si="9"/>
        <v>0.17073170731707321</v>
      </c>
      <c r="V67"/>
      <c r="W67"/>
      <c r="X67"/>
      <c r="Y67"/>
      <c r="Z67"/>
      <c r="AA67"/>
      <c r="AB67"/>
      <c r="AC67"/>
      <c r="AD67"/>
      <c r="AE67"/>
      <c r="AF67"/>
      <c r="AG67"/>
      <c r="AH67"/>
      <c r="AI67"/>
      <c r="AJ67"/>
      <c r="AK67"/>
      <c r="AL67"/>
      <c r="AM67"/>
      <c r="AN67"/>
      <c r="AO67"/>
      <c r="AP67"/>
      <c r="AQ67"/>
      <c r="AR67"/>
      <c r="AS67"/>
      <c r="AT67"/>
      <c r="AU67"/>
      <c r="AV67"/>
      <c r="AW67"/>
      <c r="AX67"/>
      <c r="AY67"/>
      <c r="AZ67"/>
      <c r="BA67"/>
      <c r="BB67" s="14"/>
    </row>
    <row r="68" spans="7:54" x14ac:dyDescent="0.25">
      <c r="G68" s="213" t="s">
        <v>466</v>
      </c>
      <c r="H68">
        <v>8.52</v>
      </c>
      <c r="I68">
        <v>2.73</v>
      </c>
      <c r="J68">
        <v>32.1</v>
      </c>
      <c r="K68">
        <v>5.78</v>
      </c>
      <c r="L68">
        <v>67.900000000000006</v>
      </c>
      <c r="M68" s="213" t="s">
        <v>466</v>
      </c>
      <c r="N68">
        <v>6.86</v>
      </c>
      <c r="O68">
        <v>1.97</v>
      </c>
      <c r="P68">
        <v>28.666</v>
      </c>
      <c r="Q68">
        <v>4.8899999999999997</v>
      </c>
      <c r="R68">
        <v>71.334000000000003</v>
      </c>
      <c r="S68" s="214">
        <f t="shared" si="7"/>
        <v>0.19483568075117363</v>
      </c>
      <c r="T68" s="214">
        <f t="shared" si="8"/>
        <v>0.2783882783882784</v>
      </c>
      <c r="U68" s="214">
        <f t="shared" si="9"/>
        <v>0.1539792387543254</v>
      </c>
      <c r="V68"/>
      <c r="W68"/>
      <c r="X68"/>
      <c r="Y68"/>
      <c r="Z68"/>
      <c r="AA68"/>
      <c r="AB68"/>
      <c r="AC68"/>
      <c r="AD68"/>
      <c r="AE68"/>
      <c r="AF68"/>
      <c r="AG68"/>
      <c r="AH68"/>
      <c r="AI68"/>
      <c r="AJ68"/>
      <c r="AK68"/>
      <c r="AL68"/>
      <c r="AM68"/>
      <c r="AN68"/>
      <c r="AO68"/>
      <c r="AP68"/>
      <c r="AQ68"/>
      <c r="AR68"/>
      <c r="AS68"/>
      <c r="AT68"/>
      <c r="AU68"/>
      <c r="AV68"/>
      <c r="AW68"/>
      <c r="AX68"/>
      <c r="AY68"/>
      <c r="AZ68"/>
      <c r="BA68"/>
      <c r="BB68" s="14"/>
    </row>
    <row r="69" spans="7:54" x14ac:dyDescent="0.25">
      <c r="G69" s="213" t="s">
        <v>467</v>
      </c>
      <c r="H69">
        <v>8.58</v>
      </c>
      <c r="I69">
        <v>2.75</v>
      </c>
      <c r="J69">
        <v>32.1</v>
      </c>
      <c r="K69">
        <v>5.83</v>
      </c>
      <c r="L69">
        <v>67.900000000000006</v>
      </c>
      <c r="M69" s="213" t="s">
        <v>467</v>
      </c>
      <c r="N69">
        <v>7.04</v>
      </c>
      <c r="O69">
        <v>2.02</v>
      </c>
      <c r="P69">
        <v>28.655000000000001</v>
      </c>
      <c r="Q69">
        <v>5.03</v>
      </c>
      <c r="R69">
        <v>71.344999999999999</v>
      </c>
      <c r="S69" s="214">
        <f t="shared" si="7"/>
        <v>0.17948717948717952</v>
      </c>
      <c r="T69" s="214">
        <f t="shared" si="8"/>
        <v>0.2654545454545455</v>
      </c>
      <c r="U69" s="214">
        <f t="shared" si="9"/>
        <v>0.13722126929674094</v>
      </c>
      <c r="V69"/>
      <c r="W69"/>
      <c r="X69"/>
      <c r="Y69"/>
      <c r="Z69"/>
      <c r="AA69"/>
      <c r="AB69"/>
      <c r="AC69"/>
      <c r="AD69"/>
      <c r="AE69"/>
      <c r="AF69"/>
      <c r="AG69"/>
      <c r="AH69"/>
      <c r="AI69"/>
      <c r="AJ69"/>
      <c r="AK69"/>
      <c r="AL69"/>
      <c r="AM69"/>
      <c r="AN69"/>
      <c r="AO69"/>
      <c r="AP69"/>
      <c r="AQ69"/>
      <c r="AR69"/>
      <c r="AS69"/>
      <c r="AT69"/>
      <c r="AU69"/>
      <c r="AV69"/>
      <c r="AW69"/>
      <c r="AX69"/>
      <c r="AY69"/>
      <c r="AZ69"/>
      <c r="BA69"/>
      <c r="BB69" s="14"/>
    </row>
    <row r="70" spans="7:54" x14ac:dyDescent="0.25">
      <c r="G70" s="213" t="s">
        <v>468</v>
      </c>
      <c r="H70">
        <v>8.65</v>
      </c>
      <c r="I70">
        <v>2.78</v>
      </c>
      <c r="J70">
        <v>32.1</v>
      </c>
      <c r="K70">
        <v>5.87</v>
      </c>
      <c r="L70">
        <v>67.900000000000006</v>
      </c>
      <c r="M70" s="213" t="s">
        <v>468</v>
      </c>
      <c r="N70">
        <v>7.23</v>
      </c>
      <c r="O70">
        <v>2.0699999999999998</v>
      </c>
      <c r="P70">
        <v>28.643000000000001</v>
      </c>
      <c r="Q70">
        <v>5.16</v>
      </c>
      <c r="R70">
        <v>71.356999999999999</v>
      </c>
      <c r="S70" s="214">
        <f t="shared" si="7"/>
        <v>0.16416184971098269</v>
      </c>
      <c r="T70" s="214">
        <f t="shared" si="8"/>
        <v>0.25539568345323738</v>
      </c>
      <c r="U70" s="214">
        <f t="shared" si="9"/>
        <v>0.12095400340715501</v>
      </c>
      <c r="V70"/>
      <c r="W70"/>
      <c r="X70"/>
      <c r="Y70"/>
      <c r="Z70"/>
      <c r="AA70"/>
      <c r="AB70"/>
      <c r="AC70"/>
      <c r="AD70"/>
      <c r="AE70"/>
      <c r="AF70"/>
      <c r="AG70"/>
      <c r="AH70"/>
      <c r="AI70"/>
      <c r="AJ70"/>
      <c r="AK70"/>
      <c r="AL70"/>
      <c r="AM70"/>
      <c r="AN70"/>
      <c r="AO70"/>
      <c r="AP70"/>
      <c r="AQ70"/>
      <c r="AR70"/>
      <c r="AS70"/>
      <c r="AT70"/>
      <c r="AU70"/>
      <c r="AV70"/>
      <c r="AW70"/>
      <c r="AX70"/>
      <c r="AY70"/>
      <c r="AZ70"/>
      <c r="BA70"/>
      <c r="BB70" s="14"/>
    </row>
    <row r="71" spans="7:54" x14ac:dyDescent="0.25">
      <c r="G71" s="213" t="s">
        <v>469</v>
      </c>
      <c r="H71">
        <v>8.7100000000000009</v>
      </c>
      <c r="I71">
        <v>2.8</v>
      </c>
      <c r="J71">
        <v>32.1</v>
      </c>
      <c r="K71">
        <v>5.92</v>
      </c>
      <c r="L71">
        <v>67.900000000000006</v>
      </c>
      <c r="M71" s="213" t="s">
        <v>469</v>
      </c>
      <c r="N71">
        <v>7.42</v>
      </c>
      <c r="O71">
        <v>2.12</v>
      </c>
      <c r="P71">
        <v>28.631</v>
      </c>
      <c r="Q71">
        <v>5.29</v>
      </c>
      <c r="R71">
        <v>71.37</v>
      </c>
      <c r="S71" s="214">
        <f t="shared" si="7"/>
        <v>0.14810562571756614</v>
      </c>
      <c r="T71" s="214">
        <f t="shared" si="8"/>
        <v>0.24285714285714277</v>
      </c>
      <c r="U71" s="214">
        <f t="shared" si="9"/>
        <v>0.10641891891891886</v>
      </c>
      <c r="V71"/>
      <c r="W71"/>
      <c r="X71"/>
      <c r="Y71"/>
      <c r="Z71"/>
      <c r="AA71"/>
      <c r="AB71"/>
      <c r="AC71"/>
      <c r="AD71"/>
      <c r="AE71"/>
      <c r="AF71"/>
      <c r="AG71"/>
      <c r="AH71"/>
      <c r="AI71"/>
      <c r="AJ71"/>
      <c r="AK71"/>
      <c r="AL71"/>
      <c r="AM71"/>
      <c r="AN71"/>
      <c r="AO71"/>
      <c r="AP71"/>
      <c r="AQ71"/>
      <c r="AR71"/>
      <c r="AS71"/>
      <c r="AT71"/>
      <c r="AU71"/>
      <c r="AV71"/>
      <c r="AW71"/>
      <c r="AX71"/>
      <c r="AY71"/>
      <c r="AZ71"/>
      <c r="BA71"/>
      <c r="BB71" s="14"/>
    </row>
    <row r="72" spans="7:54" x14ac:dyDescent="0.25">
      <c r="G72" s="213" t="s">
        <v>470</v>
      </c>
      <c r="H72">
        <v>8.7799999999999994</v>
      </c>
      <c r="I72">
        <v>2.82</v>
      </c>
      <c r="J72">
        <v>32.1</v>
      </c>
      <c r="K72">
        <v>5.96</v>
      </c>
      <c r="L72">
        <v>67.900000000000006</v>
      </c>
      <c r="M72" s="213" t="s">
        <v>470</v>
      </c>
      <c r="N72">
        <v>7.61</v>
      </c>
      <c r="O72">
        <v>2.1800000000000002</v>
      </c>
      <c r="P72">
        <v>28.617999999999999</v>
      </c>
      <c r="Q72">
        <v>5.43</v>
      </c>
      <c r="R72">
        <v>71.382000000000005</v>
      </c>
      <c r="S72" s="214">
        <f t="shared" si="7"/>
        <v>0.13325740318906598</v>
      </c>
      <c r="T72" s="214">
        <f t="shared" si="8"/>
        <v>0.22695035460992896</v>
      </c>
      <c r="U72" s="214">
        <f t="shared" si="9"/>
        <v>8.8926174496644306E-2</v>
      </c>
      <c r="V72"/>
      <c r="W72"/>
      <c r="X72"/>
      <c r="Y72"/>
      <c r="Z72"/>
      <c r="AA72"/>
      <c r="AB72"/>
      <c r="AC72"/>
      <c r="AD72"/>
      <c r="AE72"/>
      <c r="AF72"/>
      <c r="AG72"/>
      <c r="AH72"/>
      <c r="AI72"/>
      <c r="AJ72"/>
      <c r="AK72"/>
      <c r="AL72"/>
      <c r="AM72"/>
      <c r="AN72"/>
      <c r="AO72"/>
      <c r="AP72"/>
      <c r="AQ72"/>
      <c r="AR72"/>
      <c r="AS72"/>
      <c r="AT72"/>
      <c r="AU72"/>
      <c r="AV72"/>
      <c r="AW72"/>
      <c r="AX72"/>
      <c r="AY72"/>
      <c r="AZ72"/>
      <c r="BA72"/>
      <c r="BB72" s="14"/>
    </row>
    <row r="73" spans="7:54" x14ac:dyDescent="0.25">
      <c r="G73" s="213" t="s">
        <v>471</v>
      </c>
      <c r="H73">
        <v>8.85</v>
      </c>
      <c r="I73">
        <v>2.84</v>
      </c>
      <c r="J73">
        <v>32.1</v>
      </c>
      <c r="K73">
        <v>6.01</v>
      </c>
      <c r="L73">
        <v>67.900000000000006</v>
      </c>
      <c r="M73" s="213" t="s">
        <v>471</v>
      </c>
      <c r="N73">
        <v>7.8</v>
      </c>
      <c r="O73">
        <v>2.23</v>
      </c>
      <c r="P73">
        <v>28.605</v>
      </c>
      <c r="Q73">
        <v>5.57</v>
      </c>
      <c r="R73">
        <v>71.394999999999996</v>
      </c>
      <c r="S73" s="214">
        <f t="shared" si="7"/>
        <v>0.11864406779661019</v>
      </c>
      <c r="T73" s="214">
        <f t="shared" si="8"/>
        <v>0.21478873239436613</v>
      </c>
      <c r="U73" s="214">
        <f t="shared" si="9"/>
        <v>7.3211314475873479E-2</v>
      </c>
      <c r="V73"/>
      <c r="W73"/>
      <c r="X73"/>
      <c r="Y73"/>
      <c r="Z73"/>
      <c r="AA73"/>
      <c r="AB73"/>
      <c r="AC73"/>
      <c r="AD73"/>
      <c r="AE73"/>
      <c r="AF73"/>
      <c r="AG73"/>
      <c r="AH73"/>
      <c r="AI73"/>
      <c r="AJ73"/>
      <c r="AK73"/>
      <c r="AL73"/>
      <c r="AM73"/>
      <c r="AN73"/>
      <c r="AO73"/>
      <c r="AP73"/>
      <c r="AQ73"/>
      <c r="AR73"/>
      <c r="AS73"/>
      <c r="AT73"/>
      <c r="AU73"/>
      <c r="AV73"/>
      <c r="AW73"/>
      <c r="AX73"/>
      <c r="AY73"/>
      <c r="AZ73"/>
      <c r="BA73"/>
      <c r="BB73" s="14"/>
    </row>
    <row r="74" spans="7:54" x14ac:dyDescent="0.25">
      <c r="G74" s="213" t="s">
        <v>472</v>
      </c>
      <c r="H74">
        <v>8.91</v>
      </c>
      <c r="I74">
        <v>2.86</v>
      </c>
      <c r="J74">
        <v>32.1</v>
      </c>
      <c r="K74">
        <v>6.05</v>
      </c>
      <c r="L74">
        <v>67.900000000000006</v>
      </c>
      <c r="M74" s="213" t="s">
        <v>472</v>
      </c>
      <c r="N74">
        <v>7.99</v>
      </c>
      <c r="O74">
        <v>2.29</v>
      </c>
      <c r="P74">
        <v>28.591999999999999</v>
      </c>
      <c r="Q74">
        <v>5.71</v>
      </c>
      <c r="R74">
        <v>71.408000000000001</v>
      </c>
      <c r="S74" s="214">
        <f t="shared" si="7"/>
        <v>0.10325476992143656</v>
      </c>
      <c r="T74" s="214">
        <f t="shared" si="8"/>
        <v>0.19930069930069927</v>
      </c>
      <c r="U74" s="214">
        <f t="shared" si="9"/>
        <v>5.6198347107437985E-2</v>
      </c>
      <c r="V74"/>
      <c r="W74"/>
      <c r="X74"/>
      <c r="Y74"/>
      <c r="Z74"/>
      <c r="AA74"/>
      <c r="AB74"/>
      <c r="AC74"/>
      <c r="AD74"/>
      <c r="AE74"/>
      <c r="AF74"/>
      <c r="AG74"/>
      <c r="AH74"/>
      <c r="AI74"/>
      <c r="AJ74"/>
      <c r="AK74"/>
      <c r="AL74"/>
      <c r="AM74"/>
      <c r="AN74"/>
      <c r="AO74"/>
      <c r="AP74"/>
      <c r="AQ74"/>
      <c r="AR74"/>
      <c r="AS74"/>
      <c r="AT74"/>
      <c r="AU74"/>
      <c r="AV74"/>
      <c r="AW74"/>
      <c r="AX74"/>
      <c r="AY74"/>
      <c r="AZ74"/>
      <c r="BA74"/>
      <c r="BB74" s="14"/>
    </row>
    <row r="75" spans="7:54" x14ac:dyDescent="0.25">
      <c r="G75" s="213" t="s">
        <v>473</v>
      </c>
      <c r="H75">
        <v>8.98</v>
      </c>
      <c r="I75">
        <v>2.88</v>
      </c>
      <c r="J75">
        <v>32.1</v>
      </c>
      <c r="K75">
        <v>6.1</v>
      </c>
      <c r="L75">
        <v>67.900000000000006</v>
      </c>
      <c r="M75" s="213" t="s">
        <v>473</v>
      </c>
      <c r="N75">
        <v>8.18</v>
      </c>
      <c r="O75">
        <v>2.34</v>
      </c>
      <c r="P75">
        <v>28.579000000000001</v>
      </c>
      <c r="Q75">
        <v>5.84</v>
      </c>
      <c r="R75">
        <v>71.421000000000006</v>
      </c>
      <c r="S75" s="214">
        <f t="shared" si="7"/>
        <v>8.9086859688196074E-2</v>
      </c>
      <c r="T75" s="214">
        <f t="shared" si="8"/>
        <v>0.1875</v>
      </c>
      <c r="U75" s="214">
        <f t="shared" si="9"/>
        <v>4.2622950819672045E-2</v>
      </c>
      <c r="V75"/>
      <c r="W75"/>
      <c r="X75"/>
      <c r="Y75"/>
      <c r="Z75"/>
      <c r="AA75"/>
      <c r="AB75"/>
      <c r="AC75"/>
      <c r="AD75"/>
      <c r="AE75"/>
      <c r="AF75"/>
      <c r="AG75"/>
      <c r="AH75"/>
      <c r="AI75"/>
      <c r="AJ75"/>
      <c r="AK75"/>
      <c r="AL75"/>
      <c r="AM75"/>
      <c r="AN75"/>
      <c r="AO75"/>
      <c r="AP75"/>
      <c r="AQ75"/>
      <c r="AR75"/>
      <c r="AS75"/>
      <c r="AT75"/>
      <c r="AU75"/>
      <c r="AV75"/>
      <c r="AW75"/>
      <c r="AX75"/>
      <c r="AY75"/>
      <c r="AZ75"/>
      <c r="BA75"/>
      <c r="BB75" s="14"/>
    </row>
    <row r="76" spans="7:54" x14ac:dyDescent="0.25">
      <c r="G76" s="213" t="s">
        <v>474</v>
      </c>
      <c r="H76">
        <v>9.0399999999999991</v>
      </c>
      <c r="I76">
        <v>2.9</v>
      </c>
      <c r="J76">
        <v>32.1</v>
      </c>
      <c r="K76">
        <v>6.14</v>
      </c>
      <c r="L76">
        <v>67.900000000000006</v>
      </c>
      <c r="M76" s="213" t="s">
        <v>474</v>
      </c>
      <c r="N76">
        <v>8.3800000000000008</v>
      </c>
      <c r="O76">
        <v>2.39</v>
      </c>
      <c r="P76">
        <v>28.565000000000001</v>
      </c>
      <c r="Q76">
        <v>5.98</v>
      </c>
      <c r="R76">
        <v>71.435000000000002</v>
      </c>
      <c r="S76" s="214">
        <f t="shared" si="7"/>
        <v>7.300884955752196E-2</v>
      </c>
      <c r="T76" s="214">
        <f t="shared" si="8"/>
        <v>0.17586206896551715</v>
      </c>
      <c r="U76" s="214">
        <f t="shared" si="9"/>
        <v>2.6058631921824005E-2</v>
      </c>
      <c r="V76"/>
      <c r="W76"/>
      <c r="X76"/>
      <c r="Y76"/>
      <c r="Z76"/>
      <c r="AA76"/>
      <c r="AB76"/>
      <c r="AC76"/>
      <c r="AD76"/>
      <c r="AE76"/>
      <c r="AF76"/>
      <c r="AG76"/>
      <c r="AH76"/>
      <c r="AI76"/>
      <c r="AJ76"/>
      <c r="AK76"/>
      <c r="AL76"/>
      <c r="AM76"/>
      <c r="AN76"/>
      <c r="AO76"/>
      <c r="AP76"/>
      <c r="AQ76"/>
      <c r="AR76"/>
      <c r="AS76"/>
      <c r="AT76"/>
      <c r="AU76"/>
      <c r="AV76"/>
      <c r="AW76"/>
      <c r="AX76"/>
      <c r="AY76"/>
      <c r="AZ76"/>
      <c r="BA76"/>
      <c r="BB76" s="14"/>
    </row>
    <row r="77" spans="7:54" x14ac:dyDescent="0.25">
      <c r="G77" s="213" t="s">
        <v>475</v>
      </c>
      <c r="H77">
        <v>9.11</v>
      </c>
      <c r="I77">
        <v>2.92</v>
      </c>
      <c r="J77">
        <v>32.1</v>
      </c>
      <c r="K77">
        <v>6.18</v>
      </c>
      <c r="L77">
        <v>67.900000000000006</v>
      </c>
      <c r="M77" s="213" t="s">
        <v>475</v>
      </c>
      <c r="N77">
        <v>8.57</v>
      </c>
      <c r="O77">
        <v>2.4500000000000002</v>
      </c>
      <c r="P77">
        <v>28.552</v>
      </c>
      <c r="Q77">
        <v>6.12</v>
      </c>
      <c r="R77">
        <v>71.447999999999993</v>
      </c>
      <c r="S77" s="214">
        <f t="shared" si="7"/>
        <v>5.9275521405049325E-2</v>
      </c>
      <c r="T77" s="214">
        <f t="shared" si="8"/>
        <v>0.16095890410958891</v>
      </c>
      <c r="U77" s="214">
        <f t="shared" si="9"/>
        <v>9.7087378640775546E-3</v>
      </c>
      <c r="V77"/>
      <c r="W77"/>
      <c r="X77"/>
      <c r="Y77"/>
      <c r="Z77"/>
      <c r="AA77"/>
      <c r="AB77"/>
      <c r="AC77"/>
      <c r="AD77"/>
      <c r="AE77"/>
      <c r="AF77"/>
      <c r="AG77"/>
      <c r="AH77"/>
      <c r="AI77"/>
      <c r="AJ77"/>
      <c r="AK77"/>
      <c r="AL77"/>
      <c r="AM77"/>
      <c r="AN77"/>
      <c r="AO77"/>
      <c r="AP77"/>
      <c r="AQ77"/>
      <c r="AR77"/>
      <c r="AS77"/>
      <c r="AT77"/>
      <c r="AU77"/>
      <c r="AV77"/>
      <c r="AW77"/>
      <c r="AX77"/>
      <c r="AY77"/>
      <c r="AZ77"/>
      <c r="BA77"/>
      <c r="BB77" s="14"/>
    </row>
    <row r="78" spans="7:54" x14ac:dyDescent="0.25">
      <c r="G78" s="213" t="s">
        <v>476</v>
      </c>
      <c r="H78">
        <v>9.17</v>
      </c>
      <c r="I78">
        <v>2.94</v>
      </c>
      <c r="J78">
        <v>32.1</v>
      </c>
      <c r="K78">
        <v>6.23</v>
      </c>
      <c r="L78">
        <v>67.900000000000006</v>
      </c>
      <c r="M78" s="213" t="s">
        <v>476</v>
      </c>
      <c r="N78">
        <v>8.77</v>
      </c>
      <c r="O78">
        <v>2.5</v>
      </c>
      <c r="P78">
        <v>28.538</v>
      </c>
      <c r="Q78">
        <v>6.26</v>
      </c>
      <c r="R78">
        <v>71.462000000000003</v>
      </c>
      <c r="S78" s="214">
        <f t="shared" si="7"/>
        <v>4.3620501635768805E-2</v>
      </c>
      <c r="T78" s="214">
        <f t="shared" si="8"/>
        <v>0.14965986394557818</v>
      </c>
      <c r="U78" s="214">
        <f t="shared" si="9"/>
        <v>-4.8154093097911854E-3</v>
      </c>
      <c r="V78"/>
      <c r="W78"/>
      <c r="X78"/>
      <c r="Y78"/>
      <c r="Z78"/>
      <c r="AA78"/>
      <c r="AB78"/>
      <c r="AC78"/>
      <c r="AD78"/>
      <c r="AE78"/>
      <c r="AF78"/>
      <c r="AG78"/>
      <c r="AH78"/>
      <c r="AI78"/>
      <c r="AJ78"/>
      <c r="AK78"/>
      <c r="AL78"/>
      <c r="AM78"/>
      <c r="AN78"/>
      <c r="AO78"/>
      <c r="AP78"/>
      <c r="AQ78"/>
      <c r="AR78"/>
      <c r="AS78"/>
      <c r="AT78"/>
      <c r="AU78"/>
      <c r="AV78"/>
      <c r="AW78"/>
      <c r="AX78"/>
      <c r="AY78"/>
      <c r="AZ78"/>
      <c r="BA78"/>
      <c r="BB78" s="14"/>
    </row>
    <row r="79" spans="7:54" x14ac:dyDescent="0.25">
      <c r="G79" s="213" t="s">
        <v>477</v>
      </c>
      <c r="H79">
        <v>9.24</v>
      </c>
      <c r="I79">
        <v>2.97</v>
      </c>
      <c r="J79">
        <v>32.1</v>
      </c>
      <c r="K79">
        <v>6.27</v>
      </c>
      <c r="L79">
        <v>67.900000000000006</v>
      </c>
      <c r="M79" s="213" t="s">
        <v>477</v>
      </c>
      <c r="N79">
        <v>8.9600000000000009</v>
      </c>
      <c r="O79">
        <v>2.56</v>
      </c>
      <c r="P79">
        <v>28.524000000000001</v>
      </c>
      <c r="Q79">
        <v>6.41</v>
      </c>
      <c r="R79">
        <v>71.475999999999999</v>
      </c>
      <c r="S79" s="214">
        <f t="shared" si="7"/>
        <v>3.0303030303030276E-2</v>
      </c>
      <c r="T79" s="214">
        <f t="shared" si="8"/>
        <v>0.13804713804713808</v>
      </c>
      <c r="U79" s="214">
        <f t="shared" si="9"/>
        <v>-2.2328548644338309E-2</v>
      </c>
      <c r="V79"/>
      <c r="W79"/>
      <c r="X79"/>
      <c r="Y79"/>
      <c r="Z79"/>
      <c r="AA79"/>
      <c r="AB79"/>
      <c r="AC79"/>
      <c r="AD79"/>
      <c r="AE79"/>
      <c r="AF79"/>
      <c r="AG79"/>
      <c r="AH79"/>
      <c r="AI79"/>
      <c r="AJ79"/>
      <c r="AK79"/>
      <c r="AL79"/>
      <c r="AM79"/>
      <c r="AN79"/>
      <c r="AO79"/>
      <c r="AP79"/>
      <c r="AQ79"/>
      <c r="AR79"/>
      <c r="AS79"/>
      <c r="AT79"/>
      <c r="AU79"/>
      <c r="AV79"/>
      <c r="AW79"/>
      <c r="AX79"/>
      <c r="AY79"/>
      <c r="AZ79"/>
      <c r="BA79"/>
      <c r="BB79" s="14"/>
    </row>
    <row r="80" spans="7:54" x14ac:dyDescent="0.25">
      <c r="G80" s="213" t="s">
        <v>478</v>
      </c>
      <c r="H80">
        <v>9.3000000000000007</v>
      </c>
      <c r="I80">
        <v>2.99</v>
      </c>
      <c r="J80">
        <v>32.1</v>
      </c>
      <c r="K80">
        <v>6.32</v>
      </c>
      <c r="L80">
        <v>67.900000000000006</v>
      </c>
      <c r="M80" s="213" t="s">
        <v>478</v>
      </c>
      <c r="N80">
        <v>9.16</v>
      </c>
      <c r="O80">
        <v>2.61</v>
      </c>
      <c r="P80">
        <v>28.51</v>
      </c>
      <c r="Q80">
        <v>6.55</v>
      </c>
      <c r="R80">
        <v>71.489999999999995</v>
      </c>
      <c r="S80" s="214">
        <f t="shared" si="7"/>
        <v>1.5053763440860291E-2</v>
      </c>
      <c r="T80" s="214">
        <f t="shared" si="8"/>
        <v>0.12709030100334462</v>
      </c>
      <c r="U80" s="214">
        <f t="shared" si="9"/>
        <v>-3.6392405063291111E-2</v>
      </c>
      <c r="V80"/>
      <c r="W80"/>
      <c r="X80"/>
      <c r="Y80"/>
      <c r="Z80"/>
      <c r="AA80"/>
      <c r="AB80"/>
      <c r="AC80"/>
      <c r="AD80"/>
      <c r="AE80"/>
      <c r="AF80"/>
      <c r="AG80"/>
      <c r="AH80"/>
      <c r="AI80"/>
      <c r="AJ80"/>
      <c r="AK80"/>
      <c r="AL80"/>
      <c r="AM80"/>
      <c r="AN80"/>
      <c r="AO80"/>
      <c r="AP80"/>
      <c r="AQ80"/>
      <c r="AR80"/>
      <c r="AS80"/>
      <c r="AT80"/>
      <c r="AU80"/>
      <c r="AV80"/>
      <c r="AW80"/>
      <c r="AX80"/>
      <c r="AY80"/>
      <c r="AZ80"/>
      <c r="BA80"/>
      <c r="BB80" s="14"/>
    </row>
    <row r="81" spans="7:54" x14ac:dyDescent="0.25">
      <c r="G81" s="213" t="s">
        <v>479</v>
      </c>
      <c r="H81">
        <v>9.3699999999999992</v>
      </c>
      <c r="I81">
        <v>3.01</v>
      </c>
      <c r="J81">
        <v>32.1</v>
      </c>
      <c r="K81">
        <v>6.36</v>
      </c>
      <c r="L81">
        <v>67.900000000000006</v>
      </c>
      <c r="M81" s="213" t="s">
        <v>479</v>
      </c>
      <c r="N81">
        <v>9.36</v>
      </c>
      <c r="O81">
        <v>2.67</v>
      </c>
      <c r="P81">
        <v>28.495999999999999</v>
      </c>
      <c r="Q81">
        <v>6.69</v>
      </c>
      <c r="R81">
        <v>71.504000000000005</v>
      </c>
      <c r="S81" s="214">
        <f t="shared" si="7"/>
        <v>1.0672358591248265E-3</v>
      </c>
      <c r="T81" s="214">
        <f t="shared" si="8"/>
        <v>0.1129568106312292</v>
      </c>
      <c r="U81" s="214">
        <f t="shared" si="9"/>
        <v>-5.1886792452830122E-2</v>
      </c>
      <c r="V81"/>
      <c r="W81"/>
      <c r="X81"/>
      <c r="Y81"/>
      <c r="Z81"/>
      <c r="AA81"/>
      <c r="AB81"/>
      <c r="AC81"/>
      <c r="AD81"/>
      <c r="AE81"/>
      <c r="AF81"/>
      <c r="AG81"/>
      <c r="AH81"/>
      <c r="AI81"/>
      <c r="AJ81"/>
      <c r="AK81"/>
      <c r="AL81"/>
      <c r="AM81"/>
      <c r="AN81"/>
      <c r="AO81"/>
      <c r="AP81"/>
      <c r="AQ81"/>
      <c r="AR81"/>
      <c r="AS81"/>
      <c r="AT81"/>
      <c r="AU81"/>
      <c r="AV81"/>
      <c r="AW81"/>
      <c r="AX81"/>
      <c r="AY81"/>
      <c r="AZ81"/>
      <c r="BA81"/>
      <c r="BB81" s="14"/>
    </row>
    <row r="82" spans="7:54" x14ac:dyDescent="0.25">
      <c r="G82" s="213" t="s">
        <v>480</v>
      </c>
      <c r="H82">
        <v>9.44</v>
      </c>
      <c r="I82">
        <v>3.03</v>
      </c>
      <c r="J82">
        <v>32.1</v>
      </c>
      <c r="K82">
        <v>6.41</v>
      </c>
      <c r="L82">
        <v>67.900000000000006</v>
      </c>
      <c r="M82" s="213" t="s">
        <v>480</v>
      </c>
      <c r="N82">
        <v>9.56</v>
      </c>
      <c r="O82">
        <v>2.72</v>
      </c>
      <c r="P82">
        <v>28.481999999999999</v>
      </c>
      <c r="Q82">
        <v>6.84</v>
      </c>
      <c r="R82">
        <v>71.518000000000001</v>
      </c>
      <c r="S82" s="214">
        <f t="shared" si="7"/>
        <v>-1.2711864406779849E-2</v>
      </c>
      <c r="T82" s="214">
        <f t="shared" si="8"/>
        <v>0.10231023102310222</v>
      </c>
      <c r="U82" s="214">
        <f t="shared" si="9"/>
        <v>-6.7082683307332358E-2</v>
      </c>
      <c r="V82"/>
      <c r="W82"/>
      <c r="X82"/>
      <c r="Y82"/>
      <c r="Z82"/>
      <c r="AA82"/>
      <c r="AB82"/>
      <c r="AC82"/>
      <c r="AD82"/>
      <c r="AE82"/>
      <c r="AF82"/>
      <c r="AG82"/>
      <c r="AH82"/>
      <c r="AI82"/>
      <c r="AJ82"/>
      <c r="AK82"/>
      <c r="AL82"/>
      <c r="AM82"/>
      <c r="AN82"/>
      <c r="AO82"/>
      <c r="AP82"/>
      <c r="AQ82"/>
      <c r="AR82"/>
      <c r="AS82"/>
      <c r="AT82"/>
      <c r="AU82"/>
      <c r="AV82"/>
      <c r="AW82"/>
      <c r="AX82"/>
      <c r="AY82"/>
      <c r="AZ82"/>
      <c r="BA82"/>
      <c r="BB82" s="14"/>
    </row>
    <row r="83" spans="7:54" x14ac:dyDescent="0.25">
      <c r="G83" s="213" t="s">
        <v>21</v>
      </c>
      <c r="H83">
        <v>231.66</v>
      </c>
      <c r="I83">
        <v>74.36</v>
      </c>
      <c r="J83">
        <v>32.1</v>
      </c>
      <c r="K83">
        <v>157.30000000000001</v>
      </c>
      <c r="L83">
        <v>67.900000000000006</v>
      </c>
      <c r="M83" s="213" t="s">
        <v>21</v>
      </c>
      <c r="N83">
        <v>191.15</v>
      </c>
      <c r="O83">
        <v>54.72</v>
      </c>
      <c r="P83">
        <v>28.625</v>
      </c>
      <c r="Q83">
        <v>136.43</v>
      </c>
      <c r="R83">
        <v>71.375</v>
      </c>
      <c r="S83" s="214">
        <f t="shared" si="7"/>
        <v>0.17486834153500819</v>
      </c>
      <c r="T83" s="214">
        <f t="shared" si="8"/>
        <v>0.26412049488972567</v>
      </c>
      <c r="U83" s="214">
        <f t="shared" si="9"/>
        <v>0.13267641449459633</v>
      </c>
      <c r="V83"/>
      <c r="W83"/>
      <c r="X83"/>
      <c r="Y83"/>
      <c r="Z83"/>
      <c r="AA83"/>
      <c r="AB83"/>
      <c r="AC83"/>
      <c r="AD83"/>
      <c r="AE83"/>
      <c r="AF83"/>
      <c r="AG83"/>
      <c r="AH83"/>
      <c r="AI83"/>
      <c r="AJ83"/>
      <c r="AK83"/>
      <c r="AL83"/>
      <c r="AM83"/>
      <c r="AN83"/>
      <c r="AO83"/>
      <c r="AP83"/>
      <c r="AQ83"/>
      <c r="AR83"/>
      <c r="AS83"/>
      <c r="AT83"/>
      <c r="AU83"/>
      <c r="AV83"/>
      <c r="AW83"/>
      <c r="AX83"/>
      <c r="AY83"/>
      <c r="AZ83"/>
      <c r="BA83"/>
      <c r="BB83" s="14"/>
    </row>
    <row r="84" spans="7:54" x14ac:dyDescent="0.25">
      <c r="G84" s="213" t="s">
        <v>481</v>
      </c>
      <c r="H84">
        <v>8.58</v>
      </c>
      <c r="I84">
        <v>2.75</v>
      </c>
      <c r="J84">
        <v>32.1</v>
      </c>
      <c r="K84">
        <v>5.83</v>
      </c>
      <c r="L84">
        <v>67.900000000000006</v>
      </c>
      <c r="M84" s="213" t="s">
        <v>481</v>
      </c>
      <c r="N84">
        <v>7.08</v>
      </c>
      <c r="O84">
        <v>2.0299999999999998</v>
      </c>
      <c r="P84">
        <v>28.625</v>
      </c>
      <c r="Q84">
        <v>5.05</v>
      </c>
      <c r="R84">
        <v>71.375</v>
      </c>
      <c r="S84" s="214">
        <f t="shared" si="7"/>
        <v>0.17482517482517479</v>
      </c>
      <c r="T84" s="214">
        <f t="shared" si="8"/>
        <v>0.26181818181818184</v>
      </c>
      <c r="U84" s="214">
        <f t="shared" si="9"/>
        <v>0.13379073756432247</v>
      </c>
      <c r="V84"/>
      <c r="W84"/>
      <c r="X84"/>
      <c r="Y84"/>
      <c r="Z84"/>
      <c r="AA84"/>
      <c r="AB84"/>
      <c r="AC84"/>
      <c r="AD84"/>
      <c r="AE84"/>
      <c r="AF84"/>
      <c r="AG84"/>
      <c r="AH84"/>
      <c r="AI84"/>
      <c r="AJ84"/>
      <c r="AK84"/>
      <c r="AL84"/>
      <c r="AM84"/>
      <c r="AN84"/>
      <c r="AO84"/>
      <c r="AP84"/>
      <c r="AQ84"/>
      <c r="AR84"/>
      <c r="AS84"/>
      <c r="AT84"/>
      <c r="AU84"/>
      <c r="AV84"/>
      <c r="AW84"/>
      <c r="AX84"/>
      <c r="AY84"/>
      <c r="AZ84"/>
      <c r="BA84"/>
      <c r="BB84" s="14"/>
    </row>
    <row r="85" spans="7:54" x14ac:dyDescent="0.25">
      <c r="G85" s="13"/>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s="14"/>
    </row>
    <row r="86" spans="7:54" x14ac:dyDescent="0.25">
      <c r="G86" s="13"/>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s="14"/>
    </row>
    <row r="87" spans="7:54" x14ac:dyDescent="0.25">
      <c r="G87" s="13"/>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s="14"/>
    </row>
    <row r="88" spans="7:54" x14ac:dyDescent="0.25">
      <c r="G88" s="13"/>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s="14"/>
    </row>
    <row r="89" spans="7:54" x14ac:dyDescent="0.25">
      <c r="G89" s="13"/>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s="14"/>
    </row>
    <row r="90" spans="7:54" x14ac:dyDescent="0.25">
      <c r="G90" s="13"/>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s="14"/>
    </row>
    <row r="91" spans="7:54" x14ac:dyDescent="0.25">
      <c r="G91" s="13"/>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s="14"/>
    </row>
    <row r="92" spans="7:54" x14ac:dyDescent="0.25">
      <c r="G92" s="13"/>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s="14"/>
    </row>
    <row r="93" spans="7:54" x14ac:dyDescent="0.25">
      <c r="G93" s="1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s="14"/>
    </row>
    <row r="94" spans="7:54" x14ac:dyDescent="0.25">
      <c r="G94" s="13"/>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s="14"/>
    </row>
    <row r="95" spans="7:54" x14ac:dyDescent="0.25">
      <c r="G95" s="13"/>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s="14"/>
    </row>
    <row r="96" spans="7:54" x14ac:dyDescent="0.25">
      <c r="G96" s="13"/>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s="14"/>
    </row>
    <row r="97" spans="7:54" x14ac:dyDescent="0.25">
      <c r="G97" s="13"/>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s="14"/>
    </row>
    <row r="98" spans="7:54" x14ac:dyDescent="0.25">
      <c r="G98" s="13"/>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s="14"/>
    </row>
    <row r="99" spans="7:54" x14ac:dyDescent="0.25">
      <c r="G99" s="13"/>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s="14"/>
    </row>
    <row r="100" spans="7:54" x14ac:dyDescent="0.25">
      <c r="G100" s="13"/>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s="14"/>
    </row>
    <row r="101" spans="7:54" x14ac:dyDescent="0.25">
      <c r="G101" s="13"/>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s="14"/>
    </row>
    <row r="102" spans="7:54" x14ac:dyDescent="0.25">
      <c r="G102" s="13"/>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s="14"/>
    </row>
    <row r="103" spans="7:54" x14ac:dyDescent="0.25">
      <c r="G103" s="1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s="14"/>
    </row>
    <row r="104" spans="7:54" x14ac:dyDescent="0.25">
      <c r="G104" s="13"/>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s="14"/>
    </row>
    <row r="105" spans="7:54" x14ac:dyDescent="0.25">
      <c r="G105" s="13"/>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s="14"/>
    </row>
    <row r="106" spans="7:54" x14ac:dyDescent="0.25">
      <c r="G106" s="13"/>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s="14"/>
    </row>
    <row r="107" spans="7:54" x14ac:dyDescent="0.25">
      <c r="G107" s="13"/>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s="14"/>
    </row>
    <row r="108" spans="7:54" x14ac:dyDescent="0.25">
      <c r="G108" s="13"/>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s="14"/>
    </row>
    <row r="109" spans="7:54" x14ac:dyDescent="0.25">
      <c r="G109" s="13"/>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s="14"/>
    </row>
    <row r="110" spans="7:54" x14ac:dyDescent="0.25">
      <c r="G110" s="13"/>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s="14"/>
    </row>
    <row r="111" spans="7:54" ht="15.75" thickBot="1" x14ac:dyDescent="0.3">
      <c r="G111" s="15"/>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7"/>
    </row>
  </sheetData>
  <conditionalFormatting sqref="B22:B51">
    <cfRule type="expression" dxfId="16" priority="2">
      <formula>A22=""</formula>
    </cfRule>
  </conditionalFormatting>
  <conditionalFormatting sqref="C22:C51">
    <cfRule type="expression" dxfId="15" priority="1">
      <formula>A22=""</formula>
    </cfRule>
  </conditionalFormatting>
  <pageMargins left="0.7" right="0.7" top="0.75" bottom="0.75" header="0.3" footer="0.3"/>
  <pageSetup orientation="portrait" r:id="rId1"/>
  <ignoredErrors>
    <ignoredError sqref="G24:G50 M24:M50 G56:G82 M56:M8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A464A-8D12-4AB5-8A49-F5EA91C50422}">
  <sheetPr>
    <tabColor theme="9" tint="0.39997558519241921"/>
  </sheetPr>
  <dimension ref="A1:BB109"/>
  <sheetViews>
    <sheetView topLeftCell="C37" workbookViewId="0">
      <selection activeCell="P21" sqref="P21"/>
    </sheetView>
  </sheetViews>
  <sheetFormatPr defaultColWidth="9.140625" defaultRowHeight="15" x14ac:dyDescent="0.25"/>
  <cols>
    <col min="1" max="1" width="28.5703125" style="5" customWidth="1"/>
    <col min="2" max="2" width="27.42578125" style="5" customWidth="1"/>
    <col min="3" max="3" width="28.85546875" style="5" customWidth="1"/>
    <col min="4" max="4" width="30.85546875" style="5" customWidth="1"/>
    <col min="5" max="6" width="9.140625" style="5"/>
    <col min="7" max="7" width="24.28515625" style="5" customWidth="1"/>
    <col min="8" max="11" width="9.140625" style="5"/>
    <col min="12" max="12" width="9.140625" style="5" customWidth="1"/>
    <col min="13" max="16" width="9.140625" style="5"/>
    <col min="17" max="17" width="14" style="5" customWidth="1"/>
    <col min="18" max="18" width="15.5703125" style="5" customWidth="1"/>
    <col min="19" max="16384" width="9.140625" style="5"/>
  </cols>
  <sheetData>
    <row r="1" spans="1:10" ht="20.25" thickBot="1" x14ac:dyDescent="0.35">
      <c r="A1" s="96" t="s">
        <v>9</v>
      </c>
    </row>
    <row r="2" spans="1:10" ht="15.75" thickTop="1" x14ac:dyDescent="0.25">
      <c r="A2" s="152" t="s">
        <v>245</v>
      </c>
      <c r="B2" s="152"/>
      <c r="C2" s="152"/>
      <c r="D2" s="152"/>
      <c r="E2" s="152"/>
      <c r="F2" s="152"/>
      <c r="G2" s="152"/>
    </row>
    <row r="3" spans="1:10" x14ac:dyDescent="0.25">
      <c r="A3" s="5" t="s">
        <v>205</v>
      </c>
    </row>
    <row r="4" spans="1:10" x14ac:dyDescent="0.25">
      <c r="A4" s="153" t="s">
        <v>354</v>
      </c>
      <c r="B4" s="152"/>
      <c r="C4" s="152"/>
      <c r="D4" s="152"/>
      <c r="E4" s="152"/>
      <c r="F4" s="152"/>
      <c r="G4" s="152"/>
      <c r="H4" s="152"/>
      <c r="I4" s="152"/>
      <c r="J4" s="152"/>
    </row>
    <row r="5" spans="1:10" x14ac:dyDescent="0.25">
      <c r="A5" s="38" t="s">
        <v>205</v>
      </c>
    </row>
    <row r="6" spans="1:10" x14ac:dyDescent="0.25">
      <c r="A6" s="97" t="s">
        <v>246</v>
      </c>
    </row>
    <row r="7" spans="1:10" x14ac:dyDescent="0.25">
      <c r="A7" s="116" t="s">
        <v>33</v>
      </c>
      <c r="B7" s="116" t="s">
        <v>355</v>
      </c>
    </row>
    <row r="8" spans="1:10" x14ac:dyDescent="0.25">
      <c r="A8" s="35" t="s">
        <v>186</v>
      </c>
      <c r="B8" s="39">
        <f>'Parameter Values'!B24</f>
        <v>19.399999999999999</v>
      </c>
    </row>
    <row r="9" spans="1:10" x14ac:dyDescent="0.25">
      <c r="A9" s="35" t="s">
        <v>182</v>
      </c>
      <c r="B9" s="39">
        <f>'Parameter Values'!B25</f>
        <v>33.5</v>
      </c>
    </row>
    <row r="10" spans="1:10" x14ac:dyDescent="0.25">
      <c r="A10" s="35" t="s">
        <v>183</v>
      </c>
      <c r="B10" s="39">
        <f>'Parameter Values'!B26</f>
        <v>21.1</v>
      </c>
    </row>
    <row r="11" spans="1:10" ht="30" x14ac:dyDescent="0.25">
      <c r="A11" s="35" t="s">
        <v>184</v>
      </c>
      <c r="B11" s="39">
        <f>'Parameter Values'!B28</f>
        <v>38.799999999999997</v>
      </c>
    </row>
    <row r="12" spans="1:10" x14ac:dyDescent="0.25">
      <c r="A12" s="35" t="s">
        <v>185</v>
      </c>
      <c r="B12" s="39"/>
    </row>
    <row r="13" spans="1:10" x14ac:dyDescent="0.25">
      <c r="A13" s="35" t="s">
        <v>36</v>
      </c>
      <c r="B13" s="39">
        <f>'Parameter Values'!B31</f>
        <v>35.700000000000003</v>
      </c>
    </row>
    <row r="14" spans="1:10" x14ac:dyDescent="0.25">
      <c r="A14" s="35" t="s">
        <v>37</v>
      </c>
      <c r="B14" s="39">
        <f>'Parameter Values'!B32</f>
        <v>42.6</v>
      </c>
    </row>
    <row r="15" spans="1:10" x14ac:dyDescent="0.25">
      <c r="A15" s="35" t="s">
        <v>38</v>
      </c>
      <c r="B15" s="39">
        <f>'Parameter Values'!B33</f>
        <v>59.6</v>
      </c>
    </row>
    <row r="16" spans="1:10" x14ac:dyDescent="0.25">
      <c r="A16" s="35" t="s">
        <v>39</v>
      </c>
      <c r="B16" s="39">
        <f>'Parameter Values'!B34</f>
        <v>52.9</v>
      </c>
    </row>
    <row r="17" spans="1:54" x14ac:dyDescent="0.25">
      <c r="A17" s="38" t="s">
        <v>205</v>
      </c>
    </row>
    <row r="18" spans="1:54" ht="15.75" thickBot="1" x14ac:dyDescent="0.3">
      <c r="A18" s="97" t="s">
        <v>248</v>
      </c>
    </row>
    <row r="19" spans="1:54" x14ac:dyDescent="0.25">
      <c r="A19" s="107" t="s">
        <v>4</v>
      </c>
      <c r="B19" s="108" t="s">
        <v>175</v>
      </c>
      <c r="C19" s="108" t="s">
        <v>176</v>
      </c>
      <c r="D19" s="114" t="s">
        <v>169</v>
      </c>
      <c r="G19" s="10" t="s">
        <v>161</v>
      </c>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2"/>
    </row>
    <row r="20" spans="1:54" x14ac:dyDescent="0.25">
      <c r="A20" s="6">
        <f>'Project Information'!$B$9</f>
        <v>2029</v>
      </c>
      <c r="B20" s="22">
        <v>0</v>
      </c>
      <c r="C20" s="22">
        <v>0</v>
      </c>
      <c r="D20" s="26">
        <f>R27 + R59</f>
        <v>643436.10643141717</v>
      </c>
      <c r="G20" s="13"/>
      <c r="H20" s="176" t="s">
        <v>359</v>
      </c>
      <c r="I20"/>
      <c r="J20"/>
      <c r="K20" s="176" t="s">
        <v>359</v>
      </c>
      <c r="L20"/>
      <c r="M20"/>
      <c r="N20" t="s">
        <v>360</v>
      </c>
      <c r="O20" t="s">
        <v>192</v>
      </c>
      <c r="P20" t="s">
        <v>361</v>
      </c>
      <c r="Q20"/>
      <c r="R20" s="177"/>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s="14"/>
    </row>
    <row r="21" spans="1:54" x14ac:dyDescent="0.25">
      <c r="A21" s="1">
        <f>IF(A20&lt;'Project Information'!B$11,A20+1,"")</f>
        <v>2030</v>
      </c>
      <c r="B21" s="22">
        <v>0</v>
      </c>
      <c r="C21" s="22">
        <v>0</v>
      </c>
      <c r="D21" s="26">
        <f t="shared" ref="D21:D39" si="0">R28 + R60</f>
        <v>1156540.7337943134</v>
      </c>
      <c r="G21" s="13" t="s">
        <v>362</v>
      </c>
      <c r="H21">
        <v>13578</v>
      </c>
      <c r="I21"/>
      <c r="J21"/>
      <c r="K21" t="s">
        <v>4</v>
      </c>
      <c r="L21" t="s">
        <v>363</v>
      </c>
      <c r="M21" t="s">
        <v>364</v>
      </c>
      <c r="N21" t="s">
        <v>365</v>
      </c>
      <c r="O21" t="s">
        <v>366</v>
      </c>
      <c r="P21" t="s">
        <v>365</v>
      </c>
      <c r="Q21" t="s">
        <v>367</v>
      </c>
      <c r="R21" t="s">
        <v>368</v>
      </c>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s="14"/>
    </row>
    <row r="22" spans="1:54" x14ac:dyDescent="0.25">
      <c r="A22" s="1">
        <f>IF(A21&lt;'Project Information'!B$11,A21+1,"")</f>
        <v>2031</v>
      </c>
      <c r="B22" s="22">
        <v>0</v>
      </c>
      <c r="C22" s="22">
        <v>0</v>
      </c>
      <c r="D22" s="26">
        <f t="shared" si="0"/>
        <v>2462922.2105907411</v>
      </c>
      <c r="G22" s="13" t="s">
        <v>369</v>
      </c>
      <c r="H22" s="178">
        <v>15918.905660377357</v>
      </c>
      <c r="I22"/>
      <c r="J22"/>
      <c r="K22">
        <v>2023</v>
      </c>
      <c r="L22" s="179">
        <v>13578</v>
      </c>
      <c r="M22" s="179">
        <v>13578</v>
      </c>
      <c r="N22" s="179">
        <f>($H$26*L22*365)/3600</f>
        <v>170788.23283333331</v>
      </c>
      <c r="O22" s="180"/>
      <c r="P22" s="181"/>
      <c r="Q22"/>
      <c r="R22" s="177"/>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s="14"/>
    </row>
    <row r="23" spans="1:54" x14ac:dyDescent="0.25">
      <c r="A23" s="1">
        <f>IF(A22&lt;'Project Information'!B$11,A22+1,"")</f>
        <v>2032</v>
      </c>
      <c r="B23" s="22">
        <v>0</v>
      </c>
      <c r="C23" s="22">
        <v>0</v>
      </c>
      <c r="D23" s="26">
        <f t="shared" si="0"/>
        <v>4044263.7004700471</v>
      </c>
      <c r="G23" s="13" t="s">
        <v>370</v>
      </c>
      <c r="H23" s="178">
        <v>23012.490566037737</v>
      </c>
      <c r="I23"/>
      <c r="J23"/>
      <c r="K23">
        <v>2024</v>
      </c>
      <c r="L23" s="180">
        <f>L22*(1 + $H$24)</f>
        <v>13658.245980000002</v>
      </c>
      <c r="M23" s="180">
        <f>M22*(1 + $H$25)</f>
        <v>13845.921096000002</v>
      </c>
      <c r="N23" s="179">
        <f t="shared" ref="N23:N26" si="1">($H$26*L23*365)/3600</f>
        <v>171797.59128937838</v>
      </c>
      <c r="O23" s="180"/>
      <c r="P23" s="181"/>
      <c r="Q23"/>
      <c r="R23" s="177"/>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s="14"/>
    </row>
    <row r="24" spans="1:54" x14ac:dyDescent="0.25">
      <c r="A24" s="1">
        <f>IF(A23&lt;'Project Information'!B$11,A23+1,"")</f>
        <v>2033</v>
      </c>
      <c r="B24" s="22">
        <v>0</v>
      </c>
      <c r="C24" s="22">
        <v>0</v>
      </c>
      <c r="D24" s="26">
        <f t="shared" si="0"/>
        <v>2890552.8839960601</v>
      </c>
      <c r="G24" s="13" t="s">
        <v>371</v>
      </c>
      <c r="H24">
        <v>5.9100000000000003E-3</v>
      </c>
      <c r="I24"/>
      <c r="J24"/>
      <c r="K24">
        <v>2025</v>
      </c>
      <c r="L24" s="180">
        <f t="shared" ref="L24:L49" si="2">L23*(1 + $H$24)</f>
        <v>13738.966213741802</v>
      </c>
      <c r="M24" s="180">
        <f t="shared" ref="M24:M49" si="3">M23*(1 + $H$25)</f>
        <v>14119.128811066275</v>
      </c>
      <c r="N24" s="179">
        <f t="shared" si="1"/>
        <v>172812.91505389856</v>
      </c>
      <c r="O24"/>
      <c r="P24"/>
      <c r="Q24"/>
      <c r="R24" s="177"/>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s="14"/>
    </row>
    <row r="25" spans="1:54" x14ac:dyDescent="0.25">
      <c r="A25" s="1">
        <f>IF(A24&lt;'Project Information'!B$11,A24+1,"")</f>
        <v>2034</v>
      </c>
      <c r="B25" s="22">
        <v>0</v>
      </c>
      <c r="C25" s="22">
        <v>0</v>
      </c>
      <c r="D25" s="26">
        <f t="shared" si="0"/>
        <v>3411704.5090512722</v>
      </c>
      <c r="G25" s="13" t="s">
        <v>372</v>
      </c>
      <c r="H25">
        <v>1.9732E-2</v>
      </c>
      <c r="I25"/>
      <c r="J25"/>
      <c r="K25">
        <v>2026</v>
      </c>
      <c r="L25" s="180">
        <f t="shared" si="2"/>
        <v>13820.163504065016</v>
      </c>
      <c r="M25" s="180">
        <f t="shared" si="3"/>
        <v>14397.727460766237</v>
      </c>
      <c r="N25" s="179">
        <f t="shared" si="1"/>
        <v>173834.23938186711</v>
      </c>
      <c r="O25" s="180"/>
      <c r="P25" s="180"/>
      <c r="Q25" s="180"/>
      <c r="R25" s="177"/>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s="14"/>
    </row>
    <row r="26" spans="1:54" x14ac:dyDescent="0.25">
      <c r="A26" s="1">
        <f>IF(A25&lt;'Project Information'!B$11,A25+1,"")</f>
        <v>2035</v>
      </c>
      <c r="B26" s="22">
        <v>0</v>
      </c>
      <c r="C26" s="22">
        <v>0</v>
      </c>
      <c r="D26" s="26">
        <f t="shared" si="0"/>
        <v>4048341.6474536946</v>
      </c>
      <c r="G26" s="13" t="s">
        <v>373</v>
      </c>
      <c r="H26">
        <v>124.06</v>
      </c>
      <c r="I26"/>
      <c r="J26"/>
      <c r="K26">
        <v>2027</v>
      </c>
      <c r="L26" s="180">
        <f t="shared" si="2"/>
        <v>13901.840670374042</v>
      </c>
      <c r="M26" s="180">
        <f t="shared" si="3"/>
        <v>14681.823419022077</v>
      </c>
      <c r="N26" s="179">
        <f t="shared" si="1"/>
        <v>174861.59973661401</v>
      </c>
      <c r="O26" s="180"/>
      <c r="P26" s="180"/>
      <c r="Q26" s="180"/>
      <c r="R26" s="177"/>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s="14"/>
    </row>
    <row r="27" spans="1:54" x14ac:dyDescent="0.25">
      <c r="A27" s="1">
        <f>IF(A26&lt;'Project Information'!B$11,A26+1,"")</f>
        <v>2036</v>
      </c>
      <c r="B27" s="22">
        <v>0</v>
      </c>
      <c r="C27" s="22">
        <v>0</v>
      </c>
      <c r="D27" s="26">
        <f t="shared" si="0"/>
        <v>4670347.7863826919</v>
      </c>
      <c r="G27" s="13" t="s">
        <v>374</v>
      </c>
      <c r="H27">
        <v>201.09</v>
      </c>
      <c r="I27"/>
      <c r="J27"/>
      <c r="K27">
        <v>2028</v>
      </c>
      <c r="L27" s="180">
        <f t="shared" si="2"/>
        <v>13984.000548735954</v>
      </c>
      <c r="M27" s="180">
        <f t="shared" si="3"/>
        <v>14971.525158726223</v>
      </c>
      <c r="N27" s="180"/>
      <c r="O27" s="180">
        <f>N26*(1+$H$33)</f>
        <v>179796.74439818223</v>
      </c>
      <c r="P27" s="180">
        <f>N26*(1+$H$34)</f>
        <v>171923.24754595765</v>
      </c>
      <c r="Q27" s="180">
        <f>O27-P27</f>
        <v>7873.4968522245763</v>
      </c>
      <c r="R27" s="177">
        <f>((((Q27*$H$31*$H$32)*$B$10) + (Q27*H29*$B$13)+(Q27*$H$30*$B$14))/(M26/M27)) + ((((Q27*$H$31*$H$32)*$B$10) + (Q27*$H$29*$B$13)+(Q27*$H$30*$B$14)/(M27-M26)/M27)*0.5)</f>
        <v>382656.90434415499</v>
      </c>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s="14"/>
    </row>
    <row r="28" spans="1:54" x14ac:dyDescent="0.25">
      <c r="A28" s="1">
        <f>IF(A27&lt;'Project Information'!B$11,A27+1,"")</f>
        <v>2037</v>
      </c>
      <c r="B28" s="22">
        <v>0</v>
      </c>
      <c r="C28" s="22">
        <v>0</v>
      </c>
      <c r="D28" s="26">
        <f t="shared" si="0"/>
        <v>5308183.9750017626</v>
      </c>
      <c r="G28" s="13" t="s">
        <v>375</v>
      </c>
      <c r="H28">
        <v>49.72</v>
      </c>
      <c r="I28"/>
      <c r="J28"/>
      <c r="K28">
        <v>2029</v>
      </c>
      <c r="L28" s="180">
        <f t="shared" si="2"/>
        <v>14066.645991978985</v>
      </c>
      <c r="M28" s="180">
        <f t="shared" si="3"/>
        <v>15266.943293158211</v>
      </c>
      <c r="N28" s="180"/>
      <c r="O28" s="180">
        <f>O27*(1+$H$33)</f>
        <v>184871.17437377761</v>
      </c>
      <c r="P28" s="180">
        <f>P27*(1+$H$34)</f>
        <v>169034.27105362123</v>
      </c>
      <c r="Q28" s="180">
        <f t="shared" ref="Q28:Q49" si="4">O28-P28</f>
        <v>15836.903320156387</v>
      </c>
      <c r="R28" s="177">
        <f t="shared" ref="R28:R49" si="5">((((Q28*$H$31*$H$32)*$B$10) + (Q28*H30*$B$13)+(Q28*$H$30*$B$14))/(M27/M28)) + ((((Q28*$H$31*$H$32)*$B$10) + (Q28*$H$29*$B$13)+(Q28*$H$30*$B$14)/(M28-M27)/M28)*0.5)</f>
        <v>710917.6505910363</v>
      </c>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s="14"/>
    </row>
    <row r="29" spans="1:54" x14ac:dyDescent="0.25">
      <c r="A29" s="1">
        <f>IF(A28&lt;'Project Information'!B$11,A28+1,"")</f>
        <v>2038</v>
      </c>
      <c r="B29" s="22">
        <v>0</v>
      </c>
      <c r="C29" s="22">
        <v>0</v>
      </c>
      <c r="D29" s="26">
        <f t="shared" si="0"/>
        <v>5962552.8713929132</v>
      </c>
      <c r="G29" s="13" t="s">
        <v>376</v>
      </c>
      <c r="H29">
        <v>0.10833701576078951</v>
      </c>
      <c r="I29"/>
      <c r="J29"/>
      <c r="K29">
        <v>2030</v>
      </c>
      <c r="L29" s="180">
        <f t="shared" si="2"/>
        <v>14149.779869791582</v>
      </c>
      <c r="M29" s="180">
        <f t="shared" si="3"/>
        <v>15568.19061821881</v>
      </c>
      <c r="N29" s="180"/>
      <c r="O29" s="180">
        <f t="shared" ref="O29:O49" si="6">O28*(1+$H$33)</f>
        <v>190088.82073331485</v>
      </c>
      <c r="P29" s="180">
        <f t="shared" ref="P29:P49" si="7">P28*(1+$H$34)</f>
        <v>166193.8405566194</v>
      </c>
      <c r="Q29" s="180">
        <f t="shared" si="4"/>
        <v>23894.980176695448</v>
      </c>
      <c r="R29" s="177">
        <f t="shared" si="5"/>
        <v>1824582.5993539772</v>
      </c>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s="14"/>
    </row>
    <row r="30" spans="1:54" x14ac:dyDescent="0.25">
      <c r="A30" s="1">
        <f>IF(A29&lt;'Project Information'!B$11,A29+1,"")</f>
        <v>2039</v>
      </c>
      <c r="B30" s="22">
        <v>0</v>
      </c>
      <c r="C30" s="22">
        <v>0</v>
      </c>
      <c r="D30" s="26">
        <f t="shared" si="0"/>
        <v>6634182.9309298163</v>
      </c>
      <c r="G30" s="13" t="s">
        <v>377</v>
      </c>
      <c r="H30">
        <v>6.4074237737516571E-3</v>
      </c>
      <c r="I30"/>
      <c r="J30"/>
      <c r="K30">
        <v>2031</v>
      </c>
      <c r="L30" s="180">
        <f t="shared" si="2"/>
        <v>14233.405068822052</v>
      </c>
      <c r="M30" s="180">
        <f t="shared" si="3"/>
        <v>15875.382155497506</v>
      </c>
      <c r="N30" s="180"/>
      <c r="O30" s="180">
        <f t="shared" si="6"/>
        <v>195453.72549387327</v>
      </c>
      <c r="P30" s="180">
        <f t="shared" si="7"/>
        <v>163401.14029419076</v>
      </c>
      <c r="Q30" s="180">
        <f t="shared" si="4"/>
        <v>32052.585199682508</v>
      </c>
      <c r="R30" s="177">
        <f t="shared" si="5"/>
        <v>3204983.4863419877</v>
      </c>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s="14"/>
    </row>
    <row r="31" spans="1:54" x14ac:dyDescent="0.25">
      <c r="A31" s="1">
        <f>IF(A30&lt;'Project Information'!B$11,A30+1,"")</f>
        <v>2040</v>
      </c>
      <c r="B31" s="22">
        <v>0</v>
      </c>
      <c r="C31" s="22">
        <v>0</v>
      </c>
      <c r="D31" s="26">
        <f t="shared" si="0"/>
        <v>7323829.4910546755</v>
      </c>
      <c r="G31" s="13" t="s">
        <v>378</v>
      </c>
      <c r="H31">
        <v>0.87082044483723675</v>
      </c>
      <c r="I31"/>
      <c r="J31"/>
      <c r="K31">
        <v>2032</v>
      </c>
      <c r="L31" s="180">
        <f t="shared" si="2"/>
        <v>14317.524492778792</v>
      </c>
      <c r="M31" s="180">
        <f t="shared" si="3"/>
        <v>16188.635196189784</v>
      </c>
      <c r="N31" s="180"/>
      <c r="O31" s="180">
        <f t="shared" si="6"/>
        <v>200970.04475097507</v>
      </c>
      <c r="P31" s="180">
        <f t="shared" si="7"/>
        <v>160655.36821351451</v>
      </c>
      <c r="Q31" s="180">
        <f t="shared" si="4"/>
        <v>40314.67653746056</v>
      </c>
      <c r="R31" s="177">
        <f t="shared" si="5"/>
        <v>1841740.9118910199</v>
      </c>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s="14"/>
    </row>
    <row r="32" spans="1:54" x14ac:dyDescent="0.25">
      <c r="A32" s="1">
        <f>IF(A31&lt;'Project Information'!B$11,A31+1,"")</f>
        <v>2041</v>
      </c>
      <c r="B32" s="22">
        <v>0</v>
      </c>
      <c r="C32" s="22">
        <v>0</v>
      </c>
      <c r="D32" s="26">
        <f t="shared" si="0"/>
        <v>8032275.9010318834</v>
      </c>
      <c r="G32" s="13" t="s">
        <v>379</v>
      </c>
      <c r="H32">
        <v>1.52</v>
      </c>
      <c r="I32"/>
      <c r="J32"/>
      <c r="K32">
        <v>2033</v>
      </c>
      <c r="L32" s="180">
        <f t="shared" si="2"/>
        <v>14402.141062531116</v>
      </c>
      <c r="M32" s="180">
        <f t="shared" si="3"/>
        <v>16508.069345881002</v>
      </c>
      <c r="N32" s="180"/>
      <c r="O32" s="180">
        <f t="shared" si="6"/>
        <v>206642.05189823799</v>
      </c>
      <c r="P32" s="180">
        <f t="shared" si="7"/>
        <v>157955.73573936394</v>
      </c>
      <c r="Q32" s="180">
        <f t="shared" si="4"/>
        <v>48686.316158874048</v>
      </c>
      <c r="R32" s="177">
        <f t="shared" si="5"/>
        <v>2144386.1941561112</v>
      </c>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s="14"/>
    </row>
    <row r="33" spans="1:54" x14ac:dyDescent="0.25">
      <c r="A33" s="1">
        <f>IF(A32&lt;'Project Information'!B$11,A32+1,"")</f>
        <v>2042</v>
      </c>
      <c r="B33" s="22">
        <v>0</v>
      </c>
      <c r="C33" s="22">
        <v>0</v>
      </c>
      <c r="D33" s="26">
        <f t="shared" si="0"/>
        <v>8760334.698613178</v>
      </c>
      <c r="G33" s="13" t="s">
        <v>380</v>
      </c>
      <c r="H33">
        <v>2.8223147157533744E-2</v>
      </c>
      <c r="I33"/>
      <c r="J33"/>
      <c r="K33">
        <v>2034</v>
      </c>
      <c r="L33" s="180">
        <f t="shared" si="2"/>
        <v>14487.257716210677</v>
      </c>
      <c r="M33" s="180">
        <f t="shared" si="3"/>
        <v>16833.806570213928</v>
      </c>
      <c r="N33" s="180"/>
      <c r="O33" s="180">
        <f t="shared" si="6"/>
        <v>212474.14093789671</v>
      </c>
      <c r="P33" s="180">
        <f t="shared" si="7"/>
        <v>155301.46754763063</v>
      </c>
      <c r="Q33" s="180">
        <f t="shared" si="4"/>
        <v>57172.673390266078</v>
      </c>
      <c r="R33" s="177">
        <f t="shared" si="5"/>
        <v>2553141.8974598935</v>
      </c>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s="14"/>
    </row>
    <row r="34" spans="1:54" x14ac:dyDescent="0.25">
      <c r="A34" s="1">
        <f>IF(A33&lt;'Project Information'!B$11,A33+1,"")</f>
        <v>2043</v>
      </c>
      <c r="B34" s="22">
        <v>0</v>
      </c>
      <c r="C34" s="22">
        <v>0</v>
      </c>
      <c r="D34" s="26">
        <f t="shared" si="0"/>
        <v>9508848.8356328961</v>
      </c>
      <c r="G34" s="13" t="s">
        <v>381</v>
      </c>
      <c r="H34">
        <v>-1.6803873435232528E-2</v>
      </c>
      <c r="I34"/>
      <c r="J34"/>
      <c r="K34">
        <v>2035</v>
      </c>
      <c r="L34" s="180">
        <f t="shared" si="2"/>
        <v>14572.877409313483</v>
      </c>
      <c r="M34" s="180">
        <f t="shared" si="3"/>
        <v>17165.971241457391</v>
      </c>
      <c r="N34" s="180"/>
      <c r="O34" s="180">
        <f t="shared" si="6"/>
        <v>218470.82988475755</v>
      </c>
      <c r="P34" s="180">
        <f t="shared" si="7"/>
        <v>152691.80134265439</v>
      </c>
      <c r="Q34" s="180">
        <f t="shared" si="4"/>
        <v>65779.028542103159</v>
      </c>
      <c r="R34" s="177">
        <f t="shared" si="5"/>
        <v>2937473.1630104156</v>
      </c>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s="14"/>
    </row>
    <row r="35" spans="1:54" x14ac:dyDescent="0.25">
      <c r="A35" s="1">
        <f>IF(A34&lt;'Project Information'!B$11,A34+1,"")</f>
        <v>2044</v>
      </c>
      <c r="B35" s="22">
        <v>0</v>
      </c>
      <c r="C35" s="22">
        <v>0</v>
      </c>
      <c r="D35" s="26">
        <f t="shared" si="0"/>
        <v>10278692.954639312</v>
      </c>
      <c r="G35" s="13"/>
      <c r="H35"/>
      <c r="I35"/>
      <c r="J35"/>
      <c r="K35">
        <v>2036</v>
      </c>
      <c r="L35" s="180">
        <f t="shared" si="2"/>
        <v>14659.003114802528</v>
      </c>
      <c r="M35" s="180">
        <f t="shared" si="3"/>
        <v>17504.69018599383</v>
      </c>
      <c r="N35" s="180"/>
      <c r="O35" s="180">
        <f t="shared" si="6"/>
        <v>224636.76426622359</v>
      </c>
      <c r="P35" s="180">
        <f t="shared" si="7"/>
        <v>150125.98763829476</v>
      </c>
      <c r="Q35" s="180">
        <f t="shared" si="4"/>
        <v>74510.776627928833</v>
      </c>
      <c r="R35" s="177">
        <f t="shared" si="5"/>
        <v>3327404.0609312784</v>
      </c>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s="14"/>
    </row>
    <row r="36" spans="1:54" x14ac:dyDescent="0.25">
      <c r="A36" s="1">
        <f>IF(A35&lt;'Project Information'!B$11,A35+1,"")</f>
        <v>2045</v>
      </c>
      <c r="B36" s="22">
        <v>0</v>
      </c>
      <c r="C36" s="22">
        <v>0</v>
      </c>
      <c r="D36" s="26">
        <f t="shared" si="0"/>
        <v>11070774.718759468</v>
      </c>
      <c r="G36" s="13"/>
      <c r="H36"/>
      <c r="I36"/>
      <c r="J36"/>
      <c r="K36">
        <v>2037</v>
      </c>
      <c r="L36" s="180">
        <f t="shared" si="2"/>
        <v>14745.637823211013</v>
      </c>
      <c r="M36" s="180">
        <f t="shared" si="3"/>
        <v>17850.092732743862</v>
      </c>
      <c r="N36" s="180"/>
      <c r="O36" s="180">
        <f t="shared" si="6"/>
        <v>230976.72072110145</v>
      </c>
      <c r="P36" s="180">
        <f t="shared" si="7"/>
        <v>147603.28954268157</v>
      </c>
      <c r="Q36" s="180">
        <f t="shared" si="4"/>
        <v>83373.43117841988</v>
      </c>
      <c r="R36" s="177">
        <f t="shared" si="5"/>
        <v>3723180.8072093604</v>
      </c>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s="14"/>
    </row>
    <row r="37" spans="1:54" x14ac:dyDescent="0.25">
      <c r="A37" s="1">
        <f>IF(A36&lt;'Project Information'!B$11,A36+1,"")</f>
        <v>2046</v>
      </c>
      <c r="B37" s="22">
        <v>0</v>
      </c>
      <c r="C37" s="22">
        <v>0</v>
      </c>
      <c r="D37" s="26">
        <f t="shared" si="0"/>
        <v>11886036.19709013</v>
      </c>
      <c r="G37" s="13"/>
      <c r="H37"/>
      <c r="I37"/>
      <c r="J37"/>
      <c r="K37">
        <v>2038</v>
      </c>
      <c r="L37" s="180">
        <f t="shared" si="2"/>
        <v>14832.784542746191</v>
      </c>
      <c r="M37" s="180">
        <f t="shared" si="3"/>
        <v>18202.310762546367</v>
      </c>
      <c r="N37" s="180"/>
      <c r="O37" s="180">
        <f t="shared" si="6"/>
        <v>237495.6106999777</v>
      </c>
      <c r="P37" s="180">
        <f t="shared" si="7"/>
        <v>145122.98254658238</v>
      </c>
      <c r="Q37" s="180">
        <f t="shared" si="4"/>
        <v>92372.628153395315</v>
      </c>
      <c r="R37" s="177">
        <f t="shared" si="5"/>
        <v>4125055.0851107826</v>
      </c>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s="14"/>
    </row>
    <row r="38" spans="1:54" x14ac:dyDescent="0.25">
      <c r="A38" s="1">
        <f>IF(A37&lt;'Project Information'!B$11,A37+1,"")</f>
        <v>2047</v>
      </c>
      <c r="B38" s="22">
        <v>0</v>
      </c>
      <c r="C38" s="22">
        <v>0</v>
      </c>
      <c r="D38" s="26">
        <f t="shared" si="0"/>
        <v>12725455.308007099</v>
      </c>
      <c r="G38" s="13"/>
      <c r="H38"/>
      <c r="I38"/>
      <c r="J38"/>
      <c r="K38">
        <v>2039</v>
      </c>
      <c r="L38" s="180">
        <f t="shared" si="2"/>
        <v>14920.446299393821</v>
      </c>
      <c r="M38" s="180">
        <f t="shared" si="3"/>
        <v>18561.478758512934</v>
      </c>
      <c r="N38" s="180"/>
      <c r="O38" s="180">
        <f t="shared" si="6"/>
        <v>244198.48427003153</v>
      </c>
      <c r="P38" s="180">
        <f t="shared" si="7"/>
        <v>142684.35431532617</v>
      </c>
      <c r="Q38" s="180">
        <f t="shared" si="4"/>
        <v>101514.12995470536</v>
      </c>
      <c r="R38" s="177">
        <f t="shared" si="5"/>
        <v>4533284.2243832136</v>
      </c>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s="14"/>
    </row>
    <row r="39" spans="1:54" x14ac:dyDescent="0.25">
      <c r="A39" s="1">
        <f>IF(A38&lt;'Project Information'!B$11,A38+1,"")</f>
        <v>2048</v>
      </c>
      <c r="B39" s="22">
        <v>0</v>
      </c>
      <c r="C39" s="22">
        <v>0</v>
      </c>
      <c r="D39" s="26">
        <f t="shared" si="0"/>
        <v>13590047.322888868</v>
      </c>
      <c r="G39" s="13"/>
      <c r="H39"/>
      <c r="I39"/>
      <c r="J39"/>
      <c r="K39">
        <v>2040</v>
      </c>
      <c r="L39" s="180">
        <f t="shared" si="2"/>
        <v>15008.626137023241</v>
      </c>
      <c r="M39" s="180">
        <f t="shared" si="3"/>
        <v>18927.733857375912</v>
      </c>
      <c r="N39" s="180"/>
      <c r="O39" s="180">
        <f t="shared" si="6"/>
        <v>251090.53402723133</v>
      </c>
      <c r="P39" s="180">
        <f t="shared" si="7"/>
        <v>140286.70448422356</v>
      </c>
      <c r="Q39" s="180">
        <f t="shared" si="4"/>
        <v>110803.82954300777</v>
      </c>
      <c r="R39" s="177">
        <f t="shared" si="5"/>
        <v>4948131.3850974478</v>
      </c>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s="14"/>
    </row>
    <row r="40" spans="1:54" x14ac:dyDescent="0.25">
      <c r="A40" s="1" t="str">
        <f>IF(A39&lt;'Project Information'!B$11,A39+1,"")</f>
        <v/>
      </c>
      <c r="B40" s="22">
        <v>0</v>
      </c>
      <c r="C40" s="22">
        <v>0</v>
      </c>
      <c r="D40" s="26">
        <v>0</v>
      </c>
      <c r="G40" s="13"/>
      <c r="H40"/>
      <c r="I40"/>
      <c r="J40"/>
      <c r="K40">
        <v>2041</v>
      </c>
      <c r="L40" s="180">
        <f t="shared" si="2"/>
        <v>15097.327117493049</v>
      </c>
      <c r="M40" s="180">
        <f t="shared" si="3"/>
        <v>19301.215901849653</v>
      </c>
      <c r="N40" s="180"/>
      <c r="O40" s="180">
        <f t="shared" si="6"/>
        <v>258177.09911894563</v>
      </c>
      <c r="P40" s="180">
        <f t="shared" si="7"/>
        <v>137929.3444574248</v>
      </c>
      <c r="Q40" s="180">
        <f t="shared" si="4"/>
        <v>120247.75466152083</v>
      </c>
      <c r="R40" s="177">
        <f t="shared" si="5"/>
        <v>5369865.7462661965</v>
      </c>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s="14"/>
    </row>
    <row r="41" spans="1:54" x14ac:dyDescent="0.25">
      <c r="A41" s="1" t="str">
        <f>IF(A40&lt;'Project Information'!B$11,A40+1,"")</f>
        <v/>
      </c>
      <c r="B41" s="22">
        <v>0</v>
      </c>
      <c r="C41" s="22">
        <v>0</v>
      </c>
      <c r="D41" s="8">
        <f t="shared" ref="D41:D49" si="8">B41-C41</f>
        <v>0</v>
      </c>
      <c r="G41" s="13"/>
      <c r="H41"/>
      <c r="I41"/>
      <c r="J41"/>
      <c r="K41">
        <v>2042</v>
      </c>
      <c r="L41" s="180">
        <f t="shared" si="2"/>
        <v>15186.552320757433</v>
      </c>
      <c r="M41" s="180">
        <f t="shared" si="3"/>
        <v>19682.067494024952</v>
      </c>
      <c r="N41" s="180"/>
      <c r="O41" s="180">
        <f t="shared" si="6"/>
        <v>265463.66938008484</v>
      </c>
      <c r="P41" s="180">
        <f t="shared" si="7"/>
        <v>135611.59721015763</v>
      </c>
      <c r="Q41" s="180">
        <f t="shared" si="4"/>
        <v>129852.07216992721</v>
      </c>
      <c r="R41" s="177">
        <f t="shared" si="5"/>
        <v>5798762.6993818618</v>
      </c>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s="14"/>
    </row>
    <row r="42" spans="1:54" x14ac:dyDescent="0.25">
      <c r="A42" s="1" t="str">
        <f>IF(A41&lt;'Project Information'!B$11,A41+1,"")</f>
        <v/>
      </c>
      <c r="B42" s="22">
        <v>0</v>
      </c>
      <c r="C42" s="22">
        <v>0</v>
      </c>
      <c r="D42" s="8">
        <f t="shared" si="8"/>
        <v>0</v>
      </c>
      <c r="G42" s="13"/>
      <c r="H42"/>
      <c r="I42"/>
      <c r="J42"/>
      <c r="K42">
        <v>2043</v>
      </c>
      <c r="L42" s="180">
        <f t="shared" si="2"/>
        <v>15276.30484497311</v>
      </c>
      <c r="M42" s="180">
        <f t="shared" si="3"/>
        <v>20070.434049817053</v>
      </c>
      <c r="N42" s="180"/>
      <c r="O42" s="180">
        <f t="shared" si="6"/>
        <v>272955.88958597789</v>
      </c>
      <c r="P42" s="180">
        <f t="shared" si="7"/>
        <v>133332.79709428843</v>
      </c>
      <c r="Q42" s="180">
        <f t="shared" si="4"/>
        <v>139623.09249168946</v>
      </c>
      <c r="R42" s="177">
        <f t="shared" si="5"/>
        <v>6235104.0470188819</v>
      </c>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s="14"/>
    </row>
    <row r="43" spans="1:54" x14ac:dyDescent="0.25">
      <c r="A43" s="1" t="str">
        <f>IF(A42&lt;'Project Information'!B$11,A42+1,"")</f>
        <v/>
      </c>
      <c r="B43" s="22">
        <v>0</v>
      </c>
      <c r="C43" s="22">
        <v>0</v>
      </c>
      <c r="D43" s="8">
        <f t="shared" si="8"/>
        <v>0</v>
      </c>
      <c r="G43" s="13"/>
      <c r="H43"/>
      <c r="I43"/>
      <c r="J43"/>
      <c r="K43">
        <v>2044</v>
      </c>
      <c r="L43" s="180">
        <f t="shared" si="2"/>
        <v>15366.587806606904</v>
      </c>
      <c r="M43" s="180">
        <f t="shared" si="3"/>
        <v>20466.463854488044</v>
      </c>
      <c r="N43" s="180"/>
      <c r="O43" s="180">
        <f t="shared" si="6"/>
        <v>280659.56382527848</v>
      </c>
      <c r="P43" s="180">
        <f t="shared" si="7"/>
        <v>131092.28964715046</v>
      </c>
      <c r="Q43" s="180">
        <f t="shared" si="4"/>
        <v>149567.27417812802</v>
      </c>
      <c r="R43" s="177">
        <f t="shared" si="5"/>
        <v>6679178.2066503279</v>
      </c>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s="14"/>
    </row>
    <row r="44" spans="1:54" x14ac:dyDescent="0.25">
      <c r="A44" s="1" t="str">
        <f>IF(A43&lt;'Project Information'!B$11,A43+1,"")</f>
        <v/>
      </c>
      <c r="B44" s="22">
        <v>0</v>
      </c>
      <c r="C44" s="22">
        <v>0</v>
      </c>
      <c r="D44" s="8">
        <f t="shared" si="8"/>
        <v>0</v>
      </c>
      <c r="G44" s="13"/>
      <c r="H44"/>
      <c r="I44"/>
      <c r="J44"/>
      <c r="K44">
        <v>2045</v>
      </c>
      <c r="L44" s="180">
        <f t="shared" si="2"/>
        <v>15457.404340543952</v>
      </c>
      <c r="M44" s="180">
        <f t="shared" si="3"/>
        <v>20870.308119264802</v>
      </c>
      <c r="N44" s="180"/>
      <c r="O44" s="180">
        <f t="shared" si="6"/>
        <v>288580.6599962886</v>
      </c>
      <c r="P44" s="180">
        <f t="shared" si="7"/>
        <v>128889.43140358491</v>
      </c>
      <c r="Q44" s="180">
        <f t="shared" si="4"/>
        <v>159691.2285927037</v>
      </c>
      <c r="R44" s="177">
        <f t="shared" si="5"/>
        <v>7131280.4198323991</v>
      </c>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s="14"/>
    </row>
    <row r="45" spans="1:54" x14ac:dyDescent="0.25">
      <c r="A45" s="1" t="str">
        <f>IF(A44&lt;'Project Information'!B$11,A44+1,"")</f>
        <v/>
      </c>
      <c r="B45" s="22">
        <v>0</v>
      </c>
      <c r="C45" s="22">
        <v>0</v>
      </c>
      <c r="D45" s="8">
        <f t="shared" si="8"/>
        <v>0</v>
      </c>
      <c r="G45" s="13"/>
      <c r="H45"/>
      <c r="I45"/>
      <c r="J45"/>
      <c r="K45">
        <v>2046</v>
      </c>
      <c r="L45" s="180">
        <f t="shared" si="2"/>
        <v>15548.757600196568</v>
      </c>
      <c r="M45" s="180">
        <f t="shared" si="3"/>
        <v>21282.121039074136</v>
      </c>
      <c r="N45" s="180"/>
      <c r="O45" s="180">
        <f t="shared" si="6"/>
        <v>296725.3144301821</v>
      </c>
      <c r="P45" s="180">
        <f t="shared" si="7"/>
        <v>126723.58971113998</v>
      </c>
      <c r="Q45" s="180">
        <f t="shared" si="4"/>
        <v>170001.72471904213</v>
      </c>
      <c r="R45" s="177">
        <f t="shared" si="5"/>
        <v>7591712.966914868</v>
      </c>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s="14"/>
    </row>
    <row r="46" spans="1:54" x14ac:dyDescent="0.25">
      <c r="A46" s="1" t="str">
        <f>IF(A45&lt;'Project Information'!B$11,A45+1,"")</f>
        <v/>
      </c>
      <c r="B46" s="22">
        <v>0</v>
      </c>
      <c r="C46" s="22">
        <v>0</v>
      </c>
      <c r="D46" s="8">
        <f t="shared" si="8"/>
        <v>0</v>
      </c>
      <c r="G46" s="13"/>
      <c r="H46"/>
      <c r="I46"/>
      <c r="J46"/>
      <c r="K46">
        <v>2047</v>
      </c>
      <c r="L46" s="180">
        <f t="shared" si="2"/>
        <v>15640.650757613732</v>
      </c>
      <c r="M46" s="180">
        <f t="shared" si="3"/>
        <v>21702.059851417151</v>
      </c>
      <c r="N46" s="180"/>
      <c r="O46" s="180">
        <f t="shared" si="6"/>
        <v>305099.83664471062</v>
      </c>
      <c r="P46" s="180">
        <f t="shared" si="7"/>
        <v>124594.14254837566</v>
      </c>
      <c r="Q46" s="180">
        <f t="shared" si="4"/>
        <v>180505.69409633498</v>
      </c>
      <c r="R46" s="177">
        <f t="shared" si="5"/>
        <v>8060785.3874396961</v>
      </c>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s="14"/>
    </row>
    <row r="47" spans="1:54" x14ac:dyDescent="0.25">
      <c r="A47" s="1" t="str">
        <f>IF(A46&lt;'Project Information'!B$11,A46+1,"")</f>
        <v/>
      </c>
      <c r="B47" s="22">
        <v>0</v>
      </c>
      <c r="C47" s="22">
        <v>0</v>
      </c>
      <c r="D47" s="8">
        <f t="shared" si="8"/>
        <v>0</v>
      </c>
      <c r="G47" s="13"/>
      <c r="H47"/>
      <c r="I47"/>
      <c r="J47"/>
      <c r="K47">
        <v>2048</v>
      </c>
      <c r="L47" s="180">
        <f t="shared" si="2"/>
        <v>15733.08700359123</v>
      </c>
      <c r="M47" s="180">
        <f t="shared" si="3"/>
        <v>22130.284896405316</v>
      </c>
      <c r="N47" s="180"/>
      <c r="O47" s="180">
        <f t="shared" si="6"/>
        <v>313710.71423207381</v>
      </c>
      <c r="P47" s="180">
        <f t="shared" si="7"/>
        <v>122500.47834622144</v>
      </c>
      <c r="Q47" s="180">
        <f t="shared" si="4"/>
        <v>191210.23588585237</v>
      </c>
      <c r="R47" s="177">
        <f t="shared" si="5"/>
        <v>8538814.7063946929</v>
      </c>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s="14"/>
    </row>
    <row r="48" spans="1:54" x14ac:dyDescent="0.25">
      <c r="A48" s="1" t="str">
        <f>IF(A47&lt;'Project Information'!B$11,A47+1,"")</f>
        <v/>
      </c>
      <c r="B48" s="22">
        <v>0</v>
      </c>
      <c r="C48" s="22">
        <v>0</v>
      </c>
      <c r="D48" s="8">
        <f t="shared" si="8"/>
        <v>0</v>
      </c>
      <c r="G48" s="13"/>
      <c r="H48"/>
      <c r="I48"/>
      <c r="J48"/>
      <c r="K48">
        <v>2049</v>
      </c>
      <c r="L48" s="180">
        <f t="shared" si="2"/>
        <v>15826.069547782456</v>
      </c>
      <c r="M48" s="180">
        <f t="shared" si="3"/>
        <v>22566.959677981187</v>
      </c>
      <c r="N48" s="180"/>
      <c r="O48" s="180">
        <f t="shared" si="6"/>
        <v>322564.61788474064</v>
      </c>
      <c r="P48" s="180">
        <f t="shared" si="7"/>
        <v>120441.9958123361</v>
      </c>
      <c r="Q48" s="180">
        <f t="shared" si="4"/>
        <v>202122.62207240454</v>
      </c>
      <c r="R48" s="177">
        <f t="shared" si="5"/>
        <v>9026125.6664935239</v>
      </c>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s="14"/>
    </row>
    <row r="49" spans="1:54" x14ac:dyDescent="0.25">
      <c r="A49" s="1" t="str">
        <f>IF(A48&lt;'Project Information'!B$11,A48+1,"")</f>
        <v/>
      </c>
      <c r="B49" s="22">
        <v>0</v>
      </c>
      <c r="C49" s="22">
        <v>0</v>
      </c>
      <c r="D49" s="9">
        <f t="shared" si="8"/>
        <v>0</v>
      </c>
      <c r="G49" s="13"/>
      <c r="H49"/>
      <c r="I49"/>
      <c r="J49"/>
      <c r="K49">
        <v>2050</v>
      </c>
      <c r="L49" s="180">
        <f t="shared" si="2"/>
        <v>15919.601618809851</v>
      </c>
      <c r="M49" s="180">
        <f t="shared" si="3"/>
        <v>23012.250926347115</v>
      </c>
      <c r="N49" s="180"/>
      <c r="O49" s="180">
        <f t="shared" si="6"/>
        <v>331668.40656311536</v>
      </c>
      <c r="P49" s="180">
        <f t="shared" si="7"/>
        <v>118418.1037584188</v>
      </c>
      <c r="Q49" s="180">
        <f t="shared" si="4"/>
        <v>213250.30280469655</v>
      </c>
      <c r="R49" s="177">
        <f t="shared" si="5"/>
        <v>9523050.9666582327</v>
      </c>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s="14"/>
    </row>
    <row r="50" spans="1:54" x14ac:dyDescent="0.25">
      <c r="A50" s="31"/>
      <c r="B50" s="32"/>
      <c r="C50" s="32"/>
      <c r="D50" s="29"/>
      <c r="G50" s="13"/>
      <c r="H50"/>
      <c r="I50"/>
      <c r="J50"/>
      <c r="K50"/>
      <c r="L50" s="180"/>
      <c r="M50" s="180"/>
      <c r="N50" s="180"/>
      <c r="O50"/>
      <c r="P50"/>
      <c r="Q50" s="180"/>
      <c r="R50" s="177">
        <f>SUM(R27:R49)</f>
        <v>110211619.18293135</v>
      </c>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s="14"/>
    </row>
    <row r="51" spans="1:54" x14ac:dyDescent="0.25">
      <c r="B51" s="28"/>
      <c r="C51" s="28"/>
      <c r="D51" s="29"/>
      <c r="G51" s="13"/>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s="14"/>
    </row>
    <row r="52" spans="1:54" x14ac:dyDescent="0.25">
      <c r="B52" s="28"/>
      <c r="C52" s="28"/>
      <c r="D52" s="29"/>
      <c r="G52" s="13"/>
      <c r="H52" s="176" t="s">
        <v>382</v>
      </c>
      <c r="I52"/>
      <c r="J52"/>
      <c r="K52" s="182" t="s">
        <v>382</v>
      </c>
      <c r="L52"/>
      <c r="M52"/>
      <c r="N52" t="s">
        <v>360</v>
      </c>
      <c r="O52" t="s">
        <v>192</v>
      </c>
      <c r="P52" t="s">
        <v>361</v>
      </c>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s="14"/>
    </row>
    <row r="53" spans="1:54" x14ac:dyDescent="0.25">
      <c r="B53" s="28"/>
      <c r="C53" s="28"/>
      <c r="D53" s="29"/>
      <c r="G53" s="13" t="s">
        <v>362</v>
      </c>
      <c r="H53" s="183">
        <v>8060</v>
      </c>
      <c r="I53"/>
      <c r="J53"/>
      <c r="K53" t="s">
        <v>4</v>
      </c>
      <c r="L53" t="s">
        <v>192</v>
      </c>
      <c r="M53" t="s">
        <v>361</v>
      </c>
      <c r="N53" t="s">
        <v>383</v>
      </c>
      <c r="O53" t="s">
        <v>365</v>
      </c>
      <c r="P53" t="s">
        <v>383</v>
      </c>
      <c r="Q53" t="s">
        <v>367</v>
      </c>
      <c r="R53" t="s">
        <v>368</v>
      </c>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s="14"/>
    </row>
    <row r="54" spans="1:54" x14ac:dyDescent="0.25">
      <c r="B54" s="28"/>
      <c r="C54" s="28"/>
      <c r="D54" s="29"/>
      <c r="G54" s="13" t="s">
        <v>369</v>
      </c>
      <c r="H54" s="183">
        <v>14666.115081117161</v>
      </c>
      <c r="I54"/>
      <c r="J54"/>
      <c r="K54">
        <v>2023</v>
      </c>
      <c r="L54" s="183">
        <v>8060</v>
      </c>
      <c r="M54" s="183">
        <v>8060</v>
      </c>
      <c r="N54" s="179">
        <f>($H$58*L54*365)/3600</f>
        <v>70948.821666666656</v>
      </c>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s="14"/>
    </row>
    <row r="55" spans="1:54" x14ac:dyDescent="0.25">
      <c r="B55" s="28"/>
      <c r="C55" s="28"/>
      <c r="D55" s="29"/>
      <c r="G55" s="13" t="s">
        <v>370</v>
      </c>
      <c r="H55" s="183">
        <v>19515.79169380563</v>
      </c>
      <c r="I55"/>
      <c r="J55"/>
      <c r="K55">
        <v>2024</v>
      </c>
      <c r="L55" s="180">
        <f>L54*(1+$H$56)</f>
        <v>8240.7132600000004</v>
      </c>
      <c r="M55" s="180">
        <f>M54*(1+$H$57)</f>
        <v>8328.3577000000005</v>
      </c>
      <c r="N55" s="179">
        <f t="shared" ref="N55:N58" si="9">($H$58*L55*365)/3600</f>
        <v>72539.565197254997</v>
      </c>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s="14"/>
    </row>
    <row r="56" spans="1:54" x14ac:dyDescent="0.25">
      <c r="B56" s="28"/>
      <c r="C56" s="28"/>
      <c r="D56" s="29"/>
      <c r="G56" s="13" t="s">
        <v>371</v>
      </c>
      <c r="H56" s="184">
        <v>2.2421E-2</v>
      </c>
      <c r="I56"/>
      <c r="J56"/>
      <c r="K56">
        <v>2025</v>
      </c>
      <c r="L56" s="180">
        <f t="shared" ref="L56:L81" si="10">L55*(1+$H$56)</f>
        <v>8425.4782920024609</v>
      </c>
      <c r="M56" s="180">
        <f t="shared" ref="M56:M81" si="11">M55*(1+$H$57)</f>
        <v>8605.6503696215004</v>
      </c>
      <c r="N56" s="179">
        <f t="shared" si="9"/>
        <v>74165.974788542648</v>
      </c>
      <c r="O56" s="181"/>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s="14"/>
    </row>
    <row r="57" spans="1:54" x14ac:dyDescent="0.25">
      <c r="B57" s="28"/>
      <c r="C57" s="28"/>
      <c r="D57" s="29"/>
      <c r="G57" s="13" t="s">
        <v>372</v>
      </c>
      <c r="H57" s="184">
        <v>3.3294999999999998E-2</v>
      </c>
      <c r="I57"/>
      <c r="J57"/>
      <c r="K57">
        <v>2026</v>
      </c>
      <c r="L57" s="180">
        <f t="shared" si="10"/>
        <v>8614.3859407874479</v>
      </c>
      <c r="M57" s="180">
        <f t="shared" si="11"/>
        <v>8892.1754986780488</v>
      </c>
      <c r="N57" s="179">
        <f t="shared" si="9"/>
        <v>75828.85010927658</v>
      </c>
      <c r="O57" s="181"/>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s="14"/>
    </row>
    <row r="58" spans="1:54" x14ac:dyDescent="0.25">
      <c r="B58" s="28"/>
      <c r="C58" s="28"/>
      <c r="D58" s="29"/>
      <c r="G58" s="13" t="s">
        <v>373</v>
      </c>
      <c r="H58">
        <v>86.82</v>
      </c>
      <c r="I58"/>
      <c r="J58"/>
      <c r="K58">
        <v>2027</v>
      </c>
      <c r="L58" s="180">
        <f t="shared" si="10"/>
        <v>8807.5290879658442</v>
      </c>
      <c r="M58" s="180">
        <f t="shared" si="11"/>
        <v>9188.2404819065359</v>
      </c>
      <c r="N58" s="179">
        <f t="shared" si="9"/>
        <v>77529.008757576667</v>
      </c>
      <c r="O58" s="180"/>
      <c r="P58" s="180"/>
      <c r="Q58" s="180"/>
      <c r="R58" s="180"/>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s="14"/>
    </row>
    <row r="59" spans="1:54" x14ac:dyDescent="0.25">
      <c r="B59" s="28"/>
      <c r="C59" s="28"/>
      <c r="D59" s="29"/>
      <c r="G59" s="13" t="s">
        <v>374</v>
      </c>
      <c r="H59">
        <v>171.9</v>
      </c>
      <c r="I59"/>
      <c r="J59"/>
      <c r="K59">
        <v>2028</v>
      </c>
      <c r="L59" s="180">
        <f t="shared" si="10"/>
        <v>9005.0026976471272</v>
      </c>
      <c r="M59" s="180">
        <f t="shared" si="11"/>
        <v>9494.1629487516147</v>
      </c>
      <c r="N59" s="180"/>
      <c r="O59" s="180">
        <f>N58*(1+$H$65)</f>
        <v>80982.427568227038</v>
      </c>
      <c r="P59" s="180">
        <f>N57*(1+$H$66)</f>
        <v>75670.843563112663</v>
      </c>
      <c r="Q59" s="180">
        <f>O59-P59</f>
        <v>5311.584005114375</v>
      </c>
      <c r="R59" s="177">
        <f>((((Q59*$H$63*$H$64)*$B$10) + (Q59*$H$61*$B$13)+(Q59*$H$62*$B$14))/(M58/M59)) + ((((Q59*$H$63*$H$64)*$B$10) + (Q59*$H$61*$B$13)+(Q59*$H$62*$B$14)/(M59-M58)/M59)*0.5)</f>
        <v>260779.20208726224</v>
      </c>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s="14"/>
    </row>
    <row r="60" spans="1:54" x14ac:dyDescent="0.25">
      <c r="G60" s="13" t="s">
        <v>375</v>
      </c>
      <c r="H60">
        <v>82.84</v>
      </c>
      <c r="I60"/>
      <c r="J60"/>
      <c r="K60">
        <v>2029</v>
      </c>
      <c r="L60" s="180">
        <f t="shared" si="10"/>
        <v>9206.9038631310741</v>
      </c>
      <c r="M60" s="180">
        <f t="shared" si="11"/>
        <v>9810.271104130301</v>
      </c>
      <c r="N60" s="180"/>
      <c r="O60" s="180">
        <f>O59*(1+$H$65)</f>
        <v>84589.673980608335</v>
      </c>
      <c r="P60" s="180">
        <f>P59*(1+$H$66)</f>
        <v>75513.166259296413</v>
      </c>
      <c r="Q60" s="180">
        <f t="shared" ref="Q60:Q81" si="12">O60-P60</f>
        <v>9076.5077213119221</v>
      </c>
      <c r="R60" s="177">
        <f t="shared" ref="R60:R81" si="13">((((Q60*$H$63*$H$64)*$B$10) + (Q60*$H$61*$B$13)+(Q60*$H$62*$B$14))/(M59/M60)) + ((((Q60*$H$63*$H$64)*$B$10) + (Q60*$H$61*$B$13)+(Q60*$H$62*$B$14)/(M60-M59)/M60)*0.5)</f>
        <v>445623.0832032772</v>
      </c>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s="14"/>
    </row>
    <row r="61" spans="1:54" x14ac:dyDescent="0.25">
      <c r="G61" s="13" t="s">
        <v>376</v>
      </c>
      <c r="H61">
        <v>0.14851116625310173</v>
      </c>
      <c r="I61"/>
      <c r="J61"/>
      <c r="K61">
        <v>2030</v>
      </c>
      <c r="L61" s="180">
        <f t="shared" si="10"/>
        <v>9413.3318546463361</v>
      </c>
      <c r="M61" s="180">
        <f t="shared" si="11"/>
        <v>10136.904080542319</v>
      </c>
      <c r="N61" s="180"/>
      <c r="O61" s="180">
        <f t="shared" ref="O61:O81" si="14">O60*(1+$H$65)</f>
        <v>88357.600025230524</v>
      </c>
      <c r="P61" s="180">
        <f t="shared" ref="P61:P81" si="15">P60*(1+$H$66)</f>
        <v>75355.817511776986</v>
      </c>
      <c r="Q61" s="180">
        <f t="shared" si="12"/>
        <v>13001.782513453538</v>
      </c>
      <c r="R61" s="177">
        <f t="shared" si="13"/>
        <v>638339.61123676377</v>
      </c>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s="14"/>
    </row>
    <row r="62" spans="1:54" x14ac:dyDescent="0.25">
      <c r="G62" s="13" t="s">
        <v>377</v>
      </c>
      <c r="H62">
        <v>1.1166253101736972E-2</v>
      </c>
      <c r="I62"/>
      <c r="J62"/>
      <c r="K62">
        <v>2031</v>
      </c>
      <c r="L62" s="180">
        <f t="shared" si="10"/>
        <v>9624.3881681593612</v>
      </c>
      <c r="M62" s="180">
        <f t="shared" si="11"/>
        <v>10474.412301903976</v>
      </c>
      <c r="N62" s="180"/>
      <c r="O62" s="180">
        <f t="shared" si="14"/>
        <v>92293.362946502646</v>
      </c>
      <c r="P62" s="180">
        <f t="shared" si="15"/>
        <v>75198.796635933089</v>
      </c>
      <c r="Q62" s="180">
        <f t="shared" si="12"/>
        <v>17094.566310569557</v>
      </c>
      <c r="R62" s="177">
        <f t="shared" si="13"/>
        <v>839280.21412805934</v>
      </c>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s="14"/>
    </row>
    <row r="63" spans="1:54" x14ac:dyDescent="0.25">
      <c r="G63" s="13" t="s">
        <v>378</v>
      </c>
      <c r="H63">
        <v>0.82307692307692304</v>
      </c>
      <c r="I63"/>
      <c r="J63"/>
      <c r="K63">
        <v>2032</v>
      </c>
      <c r="L63" s="180">
        <f t="shared" si="10"/>
        <v>9840.1765752776628</v>
      </c>
      <c r="M63" s="180">
        <f t="shared" si="11"/>
        <v>10823.15785949587</v>
      </c>
      <c r="N63" s="180"/>
      <c r="O63" s="180">
        <f t="shared" si="14"/>
        <v>96404.43879804945</v>
      </c>
      <c r="P63" s="180">
        <f t="shared" si="15"/>
        <v>75042.102948569998</v>
      </c>
      <c r="Q63" s="180">
        <f t="shared" si="12"/>
        <v>21362.335849479452</v>
      </c>
      <c r="R63" s="177">
        <f t="shared" si="13"/>
        <v>1048811.97210504</v>
      </c>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s="14"/>
    </row>
    <row r="64" spans="1:54" x14ac:dyDescent="0.25">
      <c r="G64" s="13" t="s">
        <v>379</v>
      </c>
      <c r="H64">
        <v>1.52</v>
      </c>
      <c r="I64"/>
      <c r="J64"/>
      <c r="K64">
        <v>2033</v>
      </c>
      <c r="L64" s="180">
        <f t="shared" si="10"/>
        <v>10060.803174271963</v>
      </c>
      <c r="M64" s="180">
        <f t="shared" si="11"/>
        <v>11183.514900427786</v>
      </c>
      <c r="N64" s="180"/>
      <c r="O64" s="180">
        <f t="shared" si="14"/>
        <v>100698.63664361187</v>
      </c>
      <c r="P64" s="180">
        <f t="shared" si="15"/>
        <v>74885.735767916558</v>
      </c>
      <c r="Q64" s="180">
        <f t="shared" si="12"/>
        <v>25812.900875695312</v>
      </c>
      <c r="R64" s="177">
        <f t="shared" si="13"/>
        <v>1267318.314895161</v>
      </c>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s="14"/>
    </row>
    <row r="65" spans="7:54" x14ac:dyDescent="0.25">
      <c r="G65" s="13" t="s">
        <v>380</v>
      </c>
      <c r="H65">
        <f>((H59-H58)/H58)/22</f>
        <v>4.4543569768172406E-2</v>
      </c>
      <c r="I65"/>
      <c r="J65"/>
      <c r="K65">
        <v>2034</v>
      </c>
      <c r="L65" s="180">
        <f t="shared" si="10"/>
        <v>10286.376442242316</v>
      </c>
      <c r="M65" s="180">
        <f t="shared" si="11"/>
        <v>11555.870029037531</v>
      </c>
      <c r="N65" s="180"/>
      <c r="O65" s="180">
        <f t="shared" si="14"/>
        <v>105184.11339050643</v>
      </c>
      <c r="P65" s="180">
        <f t="shared" si="15"/>
        <v>74729.694413622245</v>
      </c>
      <c r="Q65" s="180">
        <f t="shared" si="12"/>
        <v>30454.41897688419</v>
      </c>
      <c r="R65" s="177">
        <f t="shared" si="13"/>
        <v>1495199.7499938013</v>
      </c>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s="14"/>
    </row>
    <row r="66" spans="7:54" x14ac:dyDescent="0.25">
      <c r="G66" s="13" t="s">
        <v>381</v>
      </c>
      <c r="H66">
        <f>((H60-H58)/H58)/22</f>
        <v>-2.0837259952671094E-3</v>
      </c>
      <c r="I66"/>
      <c r="J66"/>
      <c r="K66">
        <v>2035</v>
      </c>
      <c r="L66" s="180">
        <f t="shared" si="10"/>
        <v>10517.007288453831</v>
      </c>
      <c r="M66" s="180">
        <f t="shared" si="11"/>
        <v>11940.622721654336</v>
      </c>
      <c r="N66" s="180"/>
      <c r="O66" s="180">
        <f t="shared" si="14"/>
        <v>109869.38928381982</v>
      </c>
      <c r="P66" s="180">
        <f t="shared" si="15"/>
        <v>74573.978206754211</v>
      </c>
      <c r="Q66" s="180">
        <f t="shared" si="12"/>
        <v>35295.411077065612</v>
      </c>
      <c r="R66" s="177">
        <f t="shared" si="13"/>
        <v>1732874.6233722763</v>
      </c>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s="14"/>
    </row>
    <row r="67" spans="7:54" x14ac:dyDescent="0.25">
      <c r="G67" s="13"/>
      <c r="H67"/>
      <c r="I67"/>
      <c r="J67"/>
      <c r="K67">
        <v>2036</v>
      </c>
      <c r="L67" s="180">
        <f t="shared" si="10"/>
        <v>10752.809108868254</v>
      </c>
      <c r="M67" s="180">
        <f t="shared" si="11"/>
        <v>12338.185755171819</v>
      </c>
      <c r="N67" s="180"/>
      <c r="O67" s="180">
        <f t="shared" si="14"/>
        <v>114763.36409077015</v>
      </c>
      <c r="P67" s="180">
        <f t="shared" si="15"/>
        <v>74418.586469794318</v>
      </c>
      <c r="Q67" s="180">
        <f t="shared" si="12"/>
        <v>40344.77762097583</v>
      </c>
      <c r="R67" s="177">
        <f t="shared" si="13"/>
        <v>1980779.9140704842</v>
      </c>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s="14"/>
    </row>
    <row r="68" spans="7:54" x14ac:dyDescent="0.25">
      <c r="G68" s="13"/>
      <c r="H68"/>
      <c r="I68"/>
      <c r="J68"/>
      <c r="K68">
        <v>2037</v>
      </c>
      <c r="L68" s="180">
        <f t="shared" si="10"/>
        <v>10993.89784189819</v>
      </c>
      <c r="M68" s="180">
        <f t="shared" si="11"/>
        <v>12748.985649890265</v>
      </c>
      <c r="N68" s="180"/>
      <c r="O68" s="180">
        <f t="shared" si="14"/>
        <v>119875.33400597754</v>
      </c>
      <c r="P68" s="180">
        <f t="shared" si="15"/>
        <v>74263.51852663618</v>
      </c>
      <c r="Q68" s="180">
        <f t="shared" si="12"/>
        <v>45611.815479341356</v>
      </c>
      <c r="R68" s="177">
        <f t="shared" si="13"/>
        <v>2239372.0641835527</v>
      </c>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s="14"/>
    </row>
    <row r="69" spans="7:54" x14ac:dyDescent="0.25">
      <c r="G69" s="13"/>
      <c r="H69"/>
      <c r="I69"/>
      <c r="J69"/>
      <c r="K69">
        <v>2038</v>
      </c>
      <c r="L69" s="180">
        <f t="shared" si="10"/>
        <v>11240.392025411389</v>
      </c>
      <c r="M69" s="180">
        <f t="shared" si="11"/>
        <v>13173.463127103361</v>
      </c>
      <c r="N69" s="180"/>
      <c r="O69" s="180">
        <f t="shared" si="14"/>
        <v>125215.00930975577</v>
      </c>
      <c r="P69" s="180">
        <f t="shared" si="15"/>
        <v>74108.773702582228</v>
      </c>
      <c r="Q69" s="180">
        <f t="shared" si="12"/>
        <v>51106.235607173541</v>
      </c>
      <c r="R69" s="177">
        <f t="shared" si="13"/>
        <v>2509127.8458190337</v>
      </c>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s="14"/>
    </row>
    <row r="70" spans="7:54" x14ac:dyDescent="0.25">
      <c r="G70" s="13"/>
      <c r="H70"/>
      <c r="I70"/>
      <c r="J70"/>
      <c r="K70">
        <v>2039</v>
      </c>
      <c r="L70" s="180">
        <f t="shared" si="10"/>
        <v>11492.412855013137</v>
      </c>
      <c r="M70" s="180">
        <f t="shared" si="11"/>
        <v>13612.073581920269</v>
      </c>
      <c r="N70" s="180"/>
      <c r="O70" s="180">
        <f t="shared" si="14"/>
        <v>130792.53281296724</v>
      </c>
      <c r="P70" s="180">
        <f t="shared" si="15"/>
        <v>73954.351324340794</v>
      </c>
      <c r="Q70" s="180">
        <f t="shared" si="12"/>
        <v>56838.181488626447</v>
      </c>
      <c r="R70" s="177">
        <f t="shared" si="13"/>
        <v>2790545.266671462</v>
      </c>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s="14"/>
    </row>
    <row r="71" spans="7:54" x14ac:dyDescent="0.25">
      <c r="G71" s="13"/>
      <c r="H71"/>
      <c r="I71"/>
      <c r="J71"/>
      <c r="K71">
        <v>2040</v>
      </c>
      <c r="L71" s="180">
        <f t="shared" si="10"/>
        <v>11750.084243635387</v>
      </c>
      <c r="M71" s="180">
        <f t="shared" si="11"/>
        <v>14065.287571830306</v>
      </c>
      <c r="N71" s="180"/>
      <c r="O71" s="180">
        <f t="shared" si="14"/>
        <v>136618.49912347764</v>
      </c>
      <c r="P71" s="180">
        <f t="shared" si="15"/>
        <v>73800.250720023148</v>
      </c>
      <c r="Q71" s="180">
        <f t="shared" si="12"/>
        <v>62818.24840345449</v>
      </c>
      <c r="R71" s="177">
        <f t="shared" si="13"/>
        <v>3084144.5159344357</v>
      </c>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s="14"/>
    </row>
    <row r="72" spans="7:54" x14ac:dyDescent="0.25">
      <c r="G72" s="13"/>
      <c r="H72"/>
      <c r="I72"/>
      <c r="J72"/>
      <c r="K72">
        <v>2041</v>
      </c>
      <c r="L72" s="180">
        <f t="shared" si="10"/>
        <v>12013.532882461936</v>
      </c>
      <c r="M72" s="180">
        <f t="shared" si="11"/>
        <v>14533.591321534397</v>
      </c>
      <c r="N72" s="180"/>
      <c r="O72" s="180">
        <f t="shared" si="14"/>
        <v>142703.97477080725</v>
      </c>
      <c r="P72" s="180">
        <f t="shared" si="15"/>
        <v>73646.471219140614</v>
      </c>
      <c r="Q72" s="180">
        <f t="shared" si="12"/>
        <v>69057.503551666639</v>
      </c>
      <c r="R72" s="177">
        <f t="shared" si="13"/>
        <v>3390468.9523469815</v>
      </c>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s="14"/>
    </row>
    <row r="73" spans="7:54" x14ac:dyDescent="0.25">
      <c r="G73" s="13"/>
      <c r="H73"/>
      <c r="I73"/>
      <c r="J73"/>
      <c r="K73">
        <v>2042</v>
      </c>
      <c r="L73" s="180">
        <f t="shared" si="10"/>
        <v>12282.888303219615</v>
      </c>
      <c r="M73" s="180">
        <f t="shared" si="11"/>
        <v>15017.487244584887</v>
      </c>
      <c r="N73" s="180"/>
      <c r="O73" s="180">
        <f t="shared" si="14"/>
        <v>149060.51922720621</v>
      </c>
      <c r="P73" s="180">
        <f t="shared" si="15"/>
        <v>73493.012152601601</v>
      </c>
      <c r="Q73" s="180">
        <f t="shared" si="12"/>
        <v>75567.507074604611</v>
      </c>
      <c r="R73" s="177">
        <f t="shared" si="13"/>
        <v>3710086.1362510342</v>
      </c>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s="14"/>
    </row>
    <row r="74" spans="7:54" x14ac:dyDescent="0.25">
      <c r="G74" s="13"/>
      <c r="H74"/>
      <c r="I74"/>
      <c r="J74"/>
      <c r="K74">
        <v>2043</v>
      </c>
      <c r="L74" s="180">
        <f t="shared" si="10"/>
        <v>12558.282941866102</v>
      </c>
      <c r="M74" s="180">
        <f t="shared" si="11"/>
        <v>15517.494482393342</v>
      </c>
      <c r="N74" s="180"/>
      <c r="O74" s="180">
        <f t="shared" si="14"/>
        <v>155700.20686508328</v>
      </c>
      <c r="P74" s="180">
        <f t="shared" si="15"/>
        <v>73339.872852708751</v>
      </c>
      <c r="Q74" s="180">
        <f t="shared" si="12"/>
        <v>82360.334012374529</v>
      </c>
      <c r="R74" s="177">
        <f t="shared" si="13"/>
        <v>4043588.9076204291</v>
      </c>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s="14"/>
    </row>
    <row r="75" spans="7:54" x14ac:dyDescent="0.25">
      <c r="G75" s="13"/>
      <c r="H75"/>
      <c r="I75"/>
      <c r="J75"/>
      <c r="K75">
        <v>2044</v>
      </c>
      <c r="L75" s="180">
        <f t="shared" si="10"/>
        <v>12839.852203705683</v>
      </c>
      <c r="M75" s="180">
        <f t="shared" si="11"/>
        <v>16034.14946118463</v>
      </c>
      <c r="N75" s="180"/>
      <c r="O75" s="180">
        <f t="shared" si="14"/>
        <v>162635.64989249699</v>
      </c>
      <c r="P75" s="180">
        <f t="shared" si="15"/>
        <v>73187.052653155974</v>
      </c>
      <c r="Q75" s="180">
        <f t="shared" si="12"/>
        <v>89448.597239341019</v>
      </c>
      <c r="R75" s="177">
        <f t="shared" si="13"/>
        <v>4391596.5121091399</v>
      </c>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s="14"/>
    </row>
    <row r="76" spans="7:54" x14ac:dyDescent="0.25">
      <c r="G76" s="13"/>
      <c r="H76"/>
      <c r="I76"/>
      <c r="J76"/>
      <c r="K76">
        <v>2045</v>
      </c>
      <c r="L76" s="180">
        <f t="shared" si="10"/>
        <v>13127.734529964968</v>
      </c>
      <c r="M76" s="180">
        <f t="shared" si="11"/>
        <v>16568.006467494775</v>
      </c>
      <c r="N76" s="180"/>
      <c r="O76" s="180">
        <f t="shared" si="14"/>
        <v>169880.0223102755</v>
      </c>
      <c r="P76" s="180">
        <f t="shared" si="15"/>
        <v>73034.550889025617</v>
      </c>
      <c r="Q76" s="180">
        <f t="shared" si="12"/>
        <v>96845.47142124988</v>
      </c>
      <c r="R76" s="177">
        <f t="shared" si="13"/>
        <v>4754755.7772577303</v>
      </c>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s="14"/>
    </row>
    <row r="77" spans="7:54" x14ac:dyDescent="0.25">
      <c r="G77" s="13"/>
      <c r="H77"/>
      <c r="I77"/>
      <c r="J77"/>
      <c r="K77">
        <v>2046</v>
      </c>
      <c r="L77" s="180">
        <f t="shared" si="10"/>
        <v>13422.071465861312</v>
      </c>
      <c r="M77" s="180">
        <f t="shared" si="11"/>
        <v>17119.638242830017</v>
      </c>
      <c r="N77"/>
      <c r="O77" s="180">
        <f t="shared" si="14"/>
        <v>177447.08493627195</v>
      </c>
      <c r="P77" s="180">
        <f t="shared" si="15"/>
        <v>72882.366896785505</v>
      </c>
      <c r="Q77" s="180">
        <f t="shared" si="12"/>
        <v>104564.71803948644</v>
      </c>
      <c r="R77" s="177">
        <f t="shared" si="13"/>
        <v>5133742.3410922298</v>
      </c>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s="14"/>
    </row>
    <row r="78" spans="7:54" x14ac:dyDescent="0.25">
      <c r="G78" s="13"/>
      <c r="H78"/>
      <c r="I78"/>
      <c r="J78"/>
      <c r="K78">
        <v>2047</v>
      </c>
      <c r="L78" s="180">
        <f t="shared" si="10"/>
        <v>13723.007730197389</v>
      </c>
      <c r="M78" s="180">
        <f t="shared" si="11"/>
        <v>17689.636598125042</v>
      </c>
      <c r="N78"/>
      <c r="O78" s="180">
        <f t="shared" si="14"/>
        <v>185351.2115442896</v>
      </c>
      <c r="P78" s="180">
        <f t="shared" si="15"/>
        <v>72730.500014286081</v>
      </c>
      <c r="Q78" s="180">
        <f t="shared" si="12"/>
        <v>112620.71153000352</v>
      </c>
      <c r="R78" s="177">
        <f t="shared" si="13"/>
        <v>5529261.9354491718</v>
      </c>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s="14"/>
    </row>
    <row r="79" spans="7:54" x14ac:dyDescent="0.25">
      <c r="G79" s="13"/>
      <c r="H79"/>
      <c r="I79"/>
      <c r="J79"/>
      <c r="K79">
        <v>2048</v>
      </c>
      <c r="L79" s="180">
        <f t="shared" si="10"/>
        <v>14030.691286516145</v>
      </c>
      <c r="M79" s="180">
        <f t="shared" si="11"/>
        <v>18278.613048659616</v>
      </c>
      <c r="N79"/>
      <c r="O79" s="180">
        <f t="shared" si="14"/>
        <v>193607.41616732796</v>
      </c>
      <c r="P79" s="180">
        <f t="shared" si="15"/>
        <v>72578.949580757544</v>
      </c>
      <c r="Q79" s="180">
        <f t="shared" si="12"/>
        <v>121028.46658657042</v>
      </c>
      <c r="R79" s="177">
        <f t="shared" si="13"/>
        <v>5942051.7264645174</v>
      </c>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s="14"/>
    </row>
    <row r="80" spans="7:54" x14ac:dyDescent="0.25">
      <c r="G80" s="13"/>
      <c r="H80"/>
      <c r="I80"/>
      <c r="J80"/>
      <c r="K80">
        <v>2049</v>
      </c>
      <c r="L80" s="180">
        <f t="shared" si="10"/>
        <v>14345.273415851123</v>
      </c>
      <c r="M80" s="180">
        <f t="shared" si="11"/>
        <v>18887.199470114738</v>
      </c>
      <c r="N80"/>
      <c r="O80" s="180">
        <f t="shared" si="14"/>
        <v>202231.38161701293</v>
      </c>
      <c r="P80" s="180">
        <f t="shared" si="15"/>
        <v>72427.714936806937</v>
      </c>
      <c r="Q80" s="180">
        <f t="shared" si="12"/>
        <v>129803.66668020599</v>
      </c>
      <c r="R80" s="177">
        <f t="shared" si="13"/>
        <v>6372881.7147727236</v>
      </c>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s="14"/>
    </row>
    <row r="81" spans="7:54" x14ac:dyDescent="0.25">
      <c r="G81" s="13"/>
      <c r="H81"/>
      <c r="I81"/>
      <c r="J81"/>
      <c r="K81">
        <v>2050</v>
      </c>
      <c r="L81" s="180">
        <f t="shared" si="10"/>
        <v>14666.90879110792</v>
      </c>
      <c r="M81" s="180">
        <f t="shared" si="11"/>
        <v>19516.048776472209</v>
      </c>
      <c r="N81"/>
      <c r="O81" s="180">
        <f t="shared" si="14"/>
        <v>211239.48927338424</v>
      </c>
      <c r="P81" s="180">
        <f t="shared" si="15"/>
        <v>72276.795424415322</v>
      </c>
      <c r="Q81" s="180">
        <f t="shared" si="12"/>
        <v>138962.69384896892</v>
      </c>
      <c r="R81" s="177">
        <f t="shared" si="13"/>
        <v>6822556.1980756791</v>
      </c>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s="14"/>
    </row>
    <row r="82" spans="7:54" x14ac:dyDescent="0.25">
      <c r="G82" s="13"/>
      <c r="H82"/>
      <c r="I82"/>
      <c r="J82"/>
      <c r="K82"/>
      <c r="L82"/>
      <c r="M82"/>
      <c r="N82"/>
      <c r="O82"/>
      <c r="P82"/>
      <c r="Q82"/>
      <c r="R82" s="177">
        <f>SUM(R59:R81)</f>
        <v>70423186.579140246</v>
      </c>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s="14"/>
    </row>
    <row r="83" spans="7:54" x14ac:dyDescent="0.25">
      <c r="G83" s="1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s="14"/>
    </row>
    <row r="84" spans="7:54" x14ac:dyDescent="0.25">
      <c r="G84" s="13"/>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s="14"/>
    </row>
    <row r="85" spans="7:54" x14ac:dyDescent="0.25">
      <c r="G85" s="13"/>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s="14"/>
    </row>
    <row r="86" spans="7:54" x14ac:dyDescent="0.25">
      <c r="G86" s="13"/>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s="14"/>
    </row>
    <row r="87" spans="7:54" x14ac:dyDescent="0.25">
      <c r="G87" s="13"/>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s="14"/>
    </row>
    <row r="88" spans="7:54" x14ac:dyDescent="0.25">
      <c r="G88" s="13"/>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s="14"/>
    </row>
    <row r="89" spans="7:54" x14ac:dyDescent="0.25">
      <c r="G89" s="13"/>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s="14"/>
    </row>
    <row r="90" spans="7:54" x14ac:dyDescent="0.25">
      <c r="G90" s="13"/>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s="14"/>
    </row>
    <row r="91" spans="7:54" x14ac:dyDescent="0.25">
      <c r="G91" s="13"/>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s="14"/>
    </row>
    <row r="92" spans="7:54" x14ac:dyDescent="0.25">
      <c r="G92" s="13"/>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s="14"/>
    </row>
    <row r="93" spans="7:54" x14ac:dyDescent="0.25">
      <c r="G93" s="1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s="14"/>
    </row>
    <row r="94" spans="7:54" x14ac:dyDescent="0.25">
      <c r="G94" s="13"/>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s="14"/>
    </row>
    <row r="95" spans="7:54" x14ac:dyDescent="0.25">
      <c r="G95" s="13"/>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s="14"/>
    </row>
    <row r="96" spans="7:54" x14ac:dyDescent="0.25">
      <c r="G96" s="13"/>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s="14"/>
    </row>
    <row r="97" spans="7:54" x14ac:dyDescent="0.25">
      <c r="G97" s="13"/>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s="14"/>
    </row>
    <row r="98" spans="7:54" x14ac:dyDescent="0.25">
      <c r="G98" s="13"/>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s="14"/>
    </row>
    <row r="99" spans="7:54" x14ac:dyDescent="0.25">
      <c r="G99" s="13"/>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s="14"/>
    </row>
    <row r="100" spans="7:54" x14ac:dyDescent="0.25">
      <c r="G100" s="13"/>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s="14"/>
    </row>
    <row r="101" spans="7:54" x14ac:dyDescent="0.25">
      <c r="G101" s="13"/>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s="14"/>
    </row>
    <row r="102" spans="7:54" x14ac:dyDescent="0.25">
      <c r="G102" s="13"/>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s="14"/>
    </row>
    <row r="103" spans="7:54" x14ac:dyDescent="0.25">
      <c r="G103" s="1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s="14"/>
    </row>
    <row r="104" spans="7:54" x14ac:dyDescent="0.25">
      <c r="G104" s="13"/>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s="14"/>
    </row>
    <row r="105" spans="7:54" x14ac:dyDescent="0.25">
      <c r="G105" s="13"/>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s="14"/>
    </row>
    <row r="106" spans="7:54" x14ac:dyDescent="0.25">
      <c r="G106" s="13"/>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s="14"/>
    </row>
    <row r="107" spans="7:54" x14ac:dyDescent="0.25">
      <c r="G107" s="13"/>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s="14"/>
    </row>
    <row r="108" spans="7:54" x14ac:dyDescent="0.25">
      <c r="G108" s="13"/>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s="14"/>
    </row>
    <row r="109" spans="7:54" ht="15.75" thickBot="1" x14ac:dyDescent="0.3">
      <c r="G109" s="15"/>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7"/>
    </row>
  </sheetData>
  <conditionalFormatting sqref="B20:B49">
    <cfRule type="expression" dxfId="14" priority="2">
      <formula>A20=""</formula>
    </cfRule>
  </conditionalFormatting>
  <conditionalFormatting sqref="C20:C49">
    <cfRule type="expression" dxfId="13" priority="1">
      <formula>A20=""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ED953-AF08-43EF-9881-0B9B5BDB7205}">
  <sheetPr>
    <tabColor theme="9" tint="0.39997558519241921"/>
  </sheetPr>
  <dimension ref="A1:BB115"/>
  <sheetViews>
    <sheetView topLeftCell="A16" workbookViewId="0">
      <selection activeCell="D17" sqref="D17"/>
    </sheetView>
  </sheetViews>
  <sheetFormatPr defaultColWidth="9.140625" defaultRowHeight="15" x14ac:dyDescent="0.25"/>
  <cols>
    <col min="1" max="1" width="28.5703125" style="5" customWidth="1"/>
    <col min="2" max="2" width="35.140625" style="5" customWidth="1"/>
    <col min="3" max="3" width="30.7109375" style="5" customWidth="1"/>
    <col min="4" max="4" width="29.140625" style="5" customWidth="1"/>
    <col min="5" max="16384" width="9.140625" style="5"/>
  </cols>
  <sheetData>
    <row r="1" spans="1:9" ht="20.25" thickBot="1" x14ac:dyDescent="0.35">
      <c r="A1" s="96" t="s">
        <v>223</v>
      </c>
    </row>
    <row r="2" spans="1:9" ht="15.75" thickTop="1" x14ac:dyDescent="0.25">
      <c r="A2" s="152" t="s">
        <v>245</v>
      </c>
      <c r="B2" s="152"/>
      <c r="C2" s="152"/>
      <c r="D2" s="152"/>
      <c r="E2" s="152"/>
      <c r="F2" s="152"/>
    </row>
    <row r="3" spans="1:9" x14ac:dyDescent="0.25">
      <c r="A3" s="5" t="s">
        <v>205</v>
      </c>
    </row>
    <row r="4" spans="1:9" x14ac:dyDescent="0.25">
      <c r="A4" s="153" t="s">
        <v>354</v>
      </c>
      <c r="B4" s="152"/>
      <c r="C4" s="152"/>
      <c r="D4" s="152"/>
      <c r="E4" s="152"/>
      <c r="F4" s="152"/>
      <c r="G4" s="152"/>
      <c r="H4" s="152"/>
      <c r="I4" s="152"/>
    </row>
    <row r="5" spans="1:9" x14ac:dyDescent="0.25">
      <c r="A5" s="38" t="s">
        <v>205</v>
      </c>
    </row>
    <row r="6" spans="1:9" x14ac:dyDescent="0.25">
      <c r="A6" s="97" t="s">
        <v>246</v>
      </c>
    </row>
    <row r="7" spans="1:9" ht="30" x14ac:dyDescent="0.25">
      <c r="A7" s="116" t="s">
        <v>48</v>
      </c>
      <c r="B7" s="116" t="s">
        <v>340</v>
      </c>
    </row>
    <row r="8" spans="1:9" x14ac:dyDescent="0.25">
      <c r="A8" s="35" t="s">
        <v>195</v>
      </c>
      <c r="B8" s="42">
        <f>'Parameter Values'!B53</f>
        <v>0.56000000000000005</v>
      </c>
    </row>
    <row r="9" spans="1:9" x14ac:dyDescent="0.25">
      <c r="A9" s="35" t="s">
        <v>196</v>
      </c>
      <c r="B9" s="42">
        <f>'Parameter Values'!B54</f>
        <v>1.27</v>
      </c>
    </row>
    <row r="10" spans="1:9" ht="30" x14ac:dyDescent="0.25">
      <c r="A10" s="116" t="s">
        <v>273</v>
      </c>
      <c r="B10" s="116" t="s">
        <v>341</v>
      </c>
    </row>
    <row r="11" spans="1:9" x14ac:dyDescent="0.25">
      <c r="A11" s="131" t="s">
        <v>274</v>
      </c>
      <c r="B11" s="132" t="s">
        <v>282</v>
      </c>
    </row>
    <row r="12" spans="1:9" x14ac:dyDescent="0.25">
      <c r="A12" s="35" t="s">
        <v>275</v>
      </c>
      <c r="B12" s="133">
        <f>'Parameter Values'!B63</f>
        <v>262</v>
      </c>
    </row>
    <row r="13" spans="1:9" x14ac:dyDescent="0.25">
      <c r="A13" s="35" t="s">
        <v>276</v>
      </c>
      <c r="B13" s="133">
        <f>'Parameter Values'!B64</f>
        <v>282</v>
      </c>
    </row>
    <row r="14" spans="1:9" x14ac:dyDescent="0.25">
      <c r="A14" s="35" t="s">
        <v>277</v>
      </c>
      <c r="B14" s="133">
        <f>'Parameter Values'!B65</f>
        <v>718</v>
      </c>
    </row>
    <row r="15" spans="1:9" x14ac:dyDescent="0.25">
      <c r="A15" s="35" t="s">
        <v>278</v>
      </c>
      <c r="B15" s="133">
        <f>'Parameter Values'!B66</f>
        <v>323</v>
      </c>
    </row>
    <row r="16" spans="1:9" x14ac:dyDescent="0.25">
      <c r="A16" s="131" t="s">
        <v>279</v>
      </c>
      <c r="B16" s="132" t="s">
        <v>282</v>
      </c>
    </row>
    <row r="17" spans="1:54" x14ac:dyDescent="0.25">
      <c r="A17" s="35" t="s">
        <v>275</v>
      </c>
      <c r="B17" s="133">
        <f>'Parameter Values'!B68</f>
        <v>706</v>
      </c>
    </row>
    <row r="18" spans="1:54" x14ac:dyDescent="0.25">
      <c r="A18" s="35" t="s">
        <v>276</v>
      </c>
      <c r="B18" s="133">
        <f>'Parameter Values'!B69</f>
        <v>687</v>
      </c>
    </row>
    <row r="19" spans="1:54" x14ac:dyDescent="0.25">
      <c r="A19" s="35" t="s">
        <v>277</v>
      </c>
      <c r="B19" s="133">
        <f>'Parameter Values'!B70</f>
        <v>1123</v>
      </c>
    </row>
    <row r="20" spans="1:54" x14ac:dyDescent="0.25">
      <c r="A20" s="35" t="s">
        <v>278</v>
      </c>
      <c r="B20" s="133">
        <f>'Parameter Values'!B71</f>
        <v>728</v>
      </c>
    </row>
    <row r="21" spans="1:54" x14ac:dyDescent="0.25">
      <c r="A21" s="131" t="s">
        <v>280</v>
      </c>
      <c r="B21" s="132" t="s">
        <v>282</v>
      </c>
    </row>
    <row r="22" spans="1:54" x14ac:dyDescent="0.25">
      <c r="A22" s="35" t="s">
        <v>281</v>
      </c>
      <c r="B22" s="42">
        <f>'Parameter Values'!B73</f>
        <v>1.07</v>
      </c>
    </row>
    <row r="23" spans="1:54" x14ac:dyDescent="0.25">
      <c r="A23" s="38" t="s">
        <v>205</v>
      </c>
      <c r="B23" s="38"/>
    </row>
    <row r="24" spans="1:54" ht="15.75" thickBot="1" x14ac:dyDescent="0.3">
      <c r="A24" s="97" t="s">
        <v>249</v>
      </c>
    </row>
    <row r="25" spans="1:54" x14ac:dyDescent="0.25">
      <c r="A25" s="107" t="s">
        <v>4</v>
      </c>
      <c r="B25" s="108" t="s">
        <v>177</v>
      </c>
      <c r="C25" s="108" t="s">
        <v>178</v>
      </c>
      <c r="D25" s="114" t="s">
        <v>10</v>
      </c>
      <c r="G25" s="10" t="s">
        <v>161</v>
      </c>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2"/>
    </row>
    <row r="26" spans="1:54" x14ac:dyDescent="0.25">
      <c r="A26" s="6">
        <f>'Project Information'!$B$9</f>
        <v>2029</v>
      </c>
      <c r="B26" s="22">
        <v>0</v>
      </c>
      <c r="C26" s="22">
        <v>0</v>
      </c>
      <c r="D26" s="26">
        <f>B26-C26</f>
        <v>0</v>
      </c>
      <c r="G26" s="13"/>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s="14"/>
    </row>
    <row r="27" spans="1:54" x14ac:dyDescent="0.25">
      <c r="A27" s="1">
        <f>IF(A26&lt;'Project Information'!B$11,A26+1,"")</f>
        <v>2030</v>
      </c>
      <c r="B27" s="22">
        <v>0</v>
      </c>
      <c r="C27" s="22">
        <v>0</v>
      </c>
      <c r="D27" s="8">
        <f t="shared" ref="D27:D55" si="0">B27-C27</f>
        <v>0</v>
      </c>
      <c r="G27" s="13"/>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s="14"/>
    </row>
    <row r="28" spans="1:54" x14ac:dyDescent="0.25">
      <c r="A28" s="1">
        <f>IF(A27&lt;'Project Information'!B$11,A27+1,"")</f>
        <v>2031</v>
      </c>
      <c r="B28" s="22">
        <v>0</v>
      </c>
      <c r="C28" s="22">
        <v>0</v>
      </c>
      <c r="D28" s="8">
        <f t="shared" si="0"/>
        <v>0</v>
      </c>
      <c r="G28" s="13"/>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s="14"/>
    </row>
    <row r="29" spans="1:54" x14ac:dyDescent="0.25">
      <c r="A29" s="1">
        <f>IF(A28&lt;'Project Information'!B$11,A28+1,"")</f>
        <v>2032</v>
      </c>
      <c r="B29" s="22">
        <v>0</v>
      </c>
      <c r="C29" s="22">
        <v>0</v>
      </c>
      <c r="D29" s="8">
        <f t="shared" si="0"/>
        <v>0</v>
      </c>
      <c r="G29" s="13"/>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s="14"/>
    </row>
    <row r="30" spans="1:54" x14ac:dyDescent="0.25">
      <c r="A30" s="1">
        <f>IF(A29&lt;'Project Information'!B$11,A29+1,"")</f>
        <v>2033</v>
      </c>
      <c r="B30" s="22">
        <v>0</v>
      </c>
      <c r="C30" s="22">
        <v>0</v>
      </c>
      <c r="D30" s="8">
        <f t="shared" si="0"/>
        <v>0</v>
      </c>
      <c r="G30" s="13"/>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s="14"/>
    </row>
    <row r="31" spans="1:54" x14ac:dyDescent="0.25">
      <c r="A31" s="1">
        <f>IF(A30&lt;'Project Information'!B$11,A30+1,"")</f>
        <v>2034</v>
      </c>
      <c r="B31" s="22">
        <v>0</v>
      </c>
      <c r="C31" s="22">
        <v>0</v>
      </c>
      <c r="D31" s="8">
        <f t="shared" si="0"/>
        <v>0</v>
      </c>
      <c r="G31" s="13"/>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s="14"/>
    </row>
    <row r="32" spans="1:54" x14ac:dyDescent="0.25">
      <c r="A32" s="1">
        <f>IF(A31&lt;'Project Information'!B$11,A31+1,"")</f>
        <v>2035</v>
      </c>
      <c r="B32" s="22">
        <v>0</v>
      </c>
      <c r="C32" s="22">
        <v>0</v>
      </c>
      <c r="D32" s="8">
        <f t="shared" si="0"/>
        <v>0</v>
      </c>
      <c r="G32" s="13"/>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s="14"/>
    </row>
    <row r="33" spans="1:54" x14ac:dyDescent="0.25">
      <c r="A33" s="1">
        <f>IF(A32&lt;'Project Information'!B$11,A32+1,"")</f>
        <v>2036</v>
      </c>
      <c r="B33" s="22">
        <v>0</v>
      </c>
      <c r="C33" s="22">
        <v>0</v>
      </c>
      <c r="D33" s="8">
        <f t="shared" si="0"/>
        <v>0</v>
      </c>
      <c r="G33" s="1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s="14"/>
    </row>
    <row r="34" spans="1:54" x14ac:dyDescent="0.25">
      <c r="A34" s="1">
        <f>IF(A33&lt;'Project Information'!B$11,A33+1,"")</f>
        <v>2037</v>
      </c>
      <c r="B34" s="22">
        <v>0</v>
      </c>
      <c r="C34" s="22">
        <v>0</v>
      </c>
      <c r="D34" s="8">
        <f t="shared" si="0"/>
        <v>0</v>
      </c>
      <c r="G34" s="13"/>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s="14"/>
    </row>
    <row r="35" spans="1:54" x14ac:dyDescent="0.25">
      <c r="A35" s="1">
        <f>IF(A34&lt;'Project Information'!B$11,A34+1,"")</f>
        <v>2038</v>
      </c>
      <c r="B35" s="22">
        <v>0</v>
      </c>
      <c r="C35" s="22">
        <v>0</v>
      </c>
      <c r="D35" s="8">
        <f t="shared" si="0"/>
        <v>0</v>
      </c>
      <c r="G35" s="13"/>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s="14"/>
    </row>
    <row r="36" spans="1:54" x14ac:dyDescent="0.25">
      <c r="A36" s="1">
        <f>IF(A35&lt;'Project Information'!B$11,A35+1,"")</f>
        <v>2039</v>
      </c>
      <c r="B36" s="22">
        <v>0</v>
      </c>
      <c r="C36" s="22">
        <v>0</v>
      </c>
      <c r="D36" s="8">
        <f t="shared" si="0"/>
        <v>0</v>
      </c>
      <c r="G36" s="13"/>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s="14"/>
    </row>
    <row r="37" spans="1:54" x14ac:dyDescent="0.25">
      <c r="A37" s="1">
        <f>IF(A36&lt;'Project Information'!B$11,A36+1,"")</f>
        <v>2040</v>
      </c>
      <c r="B37" s="22">
        <v>0</v>
      </c>
      <c r="C37" s="22">
        <v>0</v>
      </c>
      <c r="D37" s="8">
        <f t="shared" si="0"/>
        <v>0</v>
      </c>
      <c r="G37" s="13"/>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s="14"/>
    </row>
    <row r="38" spans="1:54" x14ac:dyDescent="0.25">
      <c r="A38" s="1">
        <f>IF(A37&lt;'Project Information'!B$11,A37+1,"")</f>
        <v>2041</v>
      </c>
      <c r="B38" s="22">
        <v>0</v>
      </c>
      <c r="C38" s="22">
        <v>0</v>
      </c>
      <c r="D38" s="8">
        <f t="shared" si="0"/>
        <v>0</v>
      </c>
      <c r="G38" s="13"/>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s="14"/>
    </row>
    <row r="39" spans="1:54" x14ac:dyDescent="0.25">
      <c r="A39" s="1">
        <f>IF(A38&lt;'Project Information'!B$11,A38+1,"")</f>
        <v>2042</v>
      </c>
      <c r="B39" s="22">
        <v>0</v>
      </c>
      <c r="C39" s="22">
        <v>0</v>
      </c>
      <c r="D39" s="8">
        <f t="shared" si="0"/>
        <v>0</v>
      </c>
      <c r="G39" s="13"/>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s="14"/>
    </row>
    <row r="40" spans="1:54" x14ac:dyDescent="0.25">
      <c r="A40" s="1">
        <f>IF(A39&lt;'Project Information'!B$11,A39+1,"")</f>
        <v>2043</v>
      </c>
      <c r="B40" s="22">
        <v>0</v>
      </c>
      <c r="C40" s="22">
        <v>0</v>
      </c>
      <c r="D40" s="8">
        <f t="shared" si="0"/>
        <v>0</v>
      </c>
      <c r="G40" s="13"/>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s="14"/>
    </row>
    <row r="41" spans="1:54" x14ac:dyDescent="0.25">
      <c r="A41" s="1">
        <f>IF(A40&lt;'Project Information'!B$11,A40+1,"")</f>
        <v>2044</v>
      </c>
      <c r="B41" s="22">
        <v>0</v>
      </c>
      <c r="C41" s="22">
        <v>0</v>
      </c>
      <c r="D41" s="8">
        <f t="shared" si="0"/>
        <v>0</v>
      </c>
      <c r="G41" s="13"/>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s="14"/>
    </row>
    <row r="42" spans="1:54" x14ac:dyDescent="0.25">
      <c r="A42" s="1">
        <f>IF(A41&lt;'Project Information'!B$11,A41+1,"")</f>
        <v>2045</v>
      </c>
      <c r="B42" s="22">
        <v>0</v>
      </c>
      <c r="C42" s="22">
        <v>0</v>
      </c>
      <c r="D42" s="8">
        <f t="shared" si="0"/>
        <v>0</v>
      </c>
      <c r="G42" s="13"/>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s="14"/>
    </row>
    <row r="43" spans="1:54" x14ac:dyDescent="0.25">
      <c r="A43" s="1">
        <f>IF(A42&lt;'Project Information'!B$11,A42+1,"")</f>
        <v>2046</v>
      </c>
      <c r="B43" s="22">
        <v>0</v>
      </c>
      <c r="C43" s="22">
        <v>0</v>
      </c>
      <c r="D43" s="8">
        <f t="shared" si="0"/>
        <v>0</v>
      </c>
      <c r="G43" s="1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s="14"/>
    </row>
    <row r="44" spans="1:54" x14ac:dyDescent="0.25">
      <c r="A44" s="1">
        <f>IF(A43&lt;'Project Information'!B$11,A43+1,"")</f>
        <v>2047</v>
      </c>
      <c r="B44" s="22">
        <v>0</v>
      </c>
      <c r="C44" s="22">
        <v>0</v>
      </c>
      <c r="D44" s="8">
        <f t="shared" si="0"/>
        <v>0</v>
      </c>
      <c r="G44" s="13"/>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s="14"/>
    </row>
    <row r="45" spans="1:54" x14ac:dyDescent="0.25">
      <c r="A45" s="1">
        <f>IF(A44&lt;'Project Information'!B$11,A44+1,"")</f>
        <v>2048</v>
      </c>
      <c r="B45" s="22">
        <v>0</v>
      </c>
      <c r="C45" s="22">
        <v>0</v>
      </c>
      <c r="D45" s="8">
        <f t="shared" si="0"/>
        <v>0</v>
      </c>
      <c r="G45" s="13"/>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s="14"/>
    </row>
    <row r="46" spans="1:54" x14ac:dyDescent="0.25">
      <c r="A46" s="1" t="str">
        <f>IF(A45&lt;'Project Information'!B$11,A45+1,"")</f>
        <v/>
      </c>
      <c r="B46" s="22">
        <v>0</v>
      </c>
      <c r="C46" s="22">
        <v>0</v>
      </c>
      <c r="D46" s="8">
        <f t="shared" si="0"/>
        <v>0</v>
      </c>
      <c r="G46" s="13"/>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s="14"/>
    </row>
    <row r="47" spans="1:54" x14ac:dyDescent="0.25">
      <c r="A47" s="1" t="str">
        <f>IF(A46&lt;'Project Information'!B$11,A46+1,"")</f>
        <v/>
      </c>
      <c r="B47" s="22">
        <v>0</v>
      </c>
      <c r="C47" s="22">
        <v>0</v>
      </c>
      <c r="D47" s="8">
        <f t="shared" si="0"/>
        <v>0</v>
      </c>
      <c r="G47" s="13"/>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s="14"/>
    </row>
    <row r="48" spans="1:54" x14ac:dyDescent="0.25">
      <c r="A48" s="1" t="str">
        <f>IF(A47&lt;'Project Information'!B$11,A47+1,"")</f>
        <v/>
      </c>
      <c r="B48" s="22">
        <v>0</v>
      </c>
      <c r="C48" s="22">
        <v>0</v>
      </c>
      <c r="D48" s="8">
        <f t="shared" si="0"/>
        <v>0</v>
      </c>
      <c r="G48" s="13"/>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s="14"/>
    </row>
    <row r="49" spans="1:54" x14ac:dyDescent="0.25">
      <c r="A49" s="1" t="str">
        <f>IF(A48&lt;'Project Information'!B$11,A48+1,"")</f>
        <v/>
      </c>
      <c r="B49" s="22">
        <v>0</v>
      </c>
      <c r="C49" s="22">
        <v>0</v>
      </c>
      <c r="D49" s="8">
        <f t="shared" si="0"/>
        <v>0</v>
      </c>
      <c r="G49" s="13"/>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s="14"/>
    </row>
    <row r="50" spans="1:54" x14ac:dyDescent="0.25">
      <c r="A50" s="1" t="str">
        <f>IF(A49&lt;'Project Information'!B$11,A49+1,"")</f>
        <v/>
      </c>
      <c r="B50" s="22">
        <v>0</v>
      </c>
      <c r="C50" s="22">
        <v>0</v>
      </c>
      <c r="D50" s="8">
        <f t="shared" si="0"/>
        <v>0</v>
      </c>
      <c r="G50" s="13"/>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s="14"/>
    </row>
    <row r="51" spans="1:54" x14ac:dyDescent="0.25">
      <c r="A51" s="1" t="str">
        <f>IF(A50&lt;'Project Information'!B$11,A50+1,"")</f>
        <v/>
      </c>
      <c r="B51" s="22">
        <v>0</v>
      </c>
      <c r="C51" s="22">
        <v>0</v>
      </c>
      <c r="D51" s="8">
        <f t="shared" si="0"/>
        <v>0</v>
      </c>
      <c r="G51" s="13"/>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s="14"/>
    </row>
    <row r="52" spans="1:54" x14ac:dyDescent="0.25">
      <c r="A52" s="1" t="str">
        <f>IF(A51&lt;'Project Information'!B$11,A51+1,"")</f>
        <v/>
      </c>
      <c r="B52" s="22">
        <v>0</v>
      </c>
      <c r="C52" s="22">
        <v>0</v>
      </c>
      <c r="D52" s="8">
        <f t="shared" si="0"/>
        <v>0</v>
      </c>
      <c r="G52" s="13"/>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s="14"/>
    </row>
    <row r="53" spans="1:54" x14ac:dyDescent="0.25">
      <c r="A53" s="1" t="str">
        <f>IF(A52&lt;'Project Information'!B$11,A52+1,"")</f>
        <v/>
      </c>
      <c r="B53" s="22">
        <v>0</v>
      </c>
      <c r="C53" s="22">
        <v>0</v>
      </c>
      <c r="D53" s="8">
        <f t="shared" si="0"/>
        <v>0</v>
      </c>
      <c r="G53" s="1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s="14"/>
    </row>
    <row r="54" spans="1:54" x14ac:dyDescent="0.25">
      <c r="A54" s="1" t="str">
        <f>IF(A53&lt;'Project Information'!B$11,A53+1,"")</f>
        <v/>
      </c>
      <c r="B54" s="22">
        <v>0</v>
      </c>
      <c r="C54" s="22">
        <v>0</v>
      </c>
      <c r="D54" s="8">
        <f t="shared" si="0"/>
        <v>0</v>
      </c>
      <c r="G54" s="13"/>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s="14"/>
    </row>
    <row r="55" spans="1:54" x14ac:dyDescent="0.25">
      <c r="A55" s="1" t="str">
        <f>IF(A54&lt;'Project Information'!B$11,A54+1,"")</f>
        <v/>
      </c>
      <c r="B55" s="22">
        <v>0</v>
      </c>
      <c r="C55" s="22">
        <v>0</v>
      </c>
      <c r="D55" s="9">
        <f t="shared" si="0"/>
        <v>0</v>
      </c>
      <c r="G55" s="13"/>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s="14"/>
    </row>
    <row r="56" spans="1:54" x14ac:dyDescent="0.25">
      <c r="A56" s="31"/>
      <c r="B56" s="32"/>
      <c r="C56" s="32"/>
      <c r="D56" s="29"/>
      <c r="G56" s="13"/>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s="14"/>
    </row>
    <row r="57" spans="1:54" x14ac:dyDescent="0.25">
      <c r="B57" s="28"/>
      <c r="C57" s="28"/>
      <c r="D57" s="29"/>
      <c r="G57" s="13"/>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s="14"/>
    </row>
    <row r="58" spans="1:54" x14ac:dyDescent="0.25">
      <c r="B58" s="28"/>
      <c r="C58" s="28"/>
      <c r="D58" s="29"/>
      <c r="G58" s="13"/>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s="14"/>
    </row>
    <row r="59" spans="1:54" x14ac:dyDescent="0.25">
      <c r="B59" s="28"/>
      <c r="C59" s="28"/>
      <c r="D59" s="29"/>
      <c r="G59" s="13"/>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s="14"/>
    </row>
    <row r="60" spans="1:54" x14ac:dyDescent="0.25">
      <c r="B60" s="28"/>
      <c r="C60" s="28"/>
      <c r="D60" s="29"/>
      <c r="G60" s="13"/>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s="14"/>
    </row>
    <row r="61" spans="1:54" x14ac:dyDescent="0.25">
      <c r="B61" s="28"/>
      <c r="C61" s="28"/>
      <c r="D61" s="29"/>
      <c r="G61" s="13"/>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s="14"/>
    </row>
    <row r="62" spans="1:54" x14ac:dyDescent="0.25">
      <c r="B62" s="28"/>
      <c r="C62" s="28"/>
      <c r="D62" s="29"/>
      <c r="G62" s="13"/>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s="14"/>
    </row>
    <row r="63" spans="1:54" x14ac:dyDescent="0.25">
      <c r="B63" s="28"/>
      <c r="C63" s="28"/>
      <c r="D63" s="29"/>
      <c r="G63" s="1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s="14"/>
    </row>
    <row r="64" spans="1:54" x14ac:dyDescent="0.25">
      <c r="B64" s="28"/>
      <c r="C64" s="28"/>
      <c r="D64" s="29"/>
      <c r="G64" s="13"/>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s="14"/>
    </row>
    <row r="65" spans="2:54" x14ac:dyDescent="0.25">
      <c r="B65" s="28"/>
      <c r="C65" s="28"/>
      <c r="D65" s="29"/>
      <c r="G65" s="13"/>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s="14"/>
    </row>
    <row r="66" spans="2:54" x14ac:dyDescent="0.25">
      <c r="G66" s="13"/>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s="14"/>
    </row>
    <row r="67" spans="2:54" x14ac:dyDescent="0.25">
      <c r="G67" s="13"/>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s="14"/>
    </row>
    <row r="68" spans="2:54" x14ac:dyDescent="0.25">
      <c r="G68" s="13"/>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s="14"/>
    </row>
    <row r="69" spans="2:54" x14ac:dyDescent="0.25">
      <c r="G69" s="13"/>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s="14"/>
    </row>
    <row r="70" spans="2:54" x14ac:dyDescent="0.25">
      <c r="G70" s="13"/>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s="14"/>
    </row>
    <row r="71" spans="2:54" x14ac:dyDescent="0.25">
      <c r="G71" s="13"/>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s="14"/>
    </row>
    <row r="72" spans="2:54" x14ac:dyDescent="0.25">
      <c r="G72" s="13"/>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s="14"/>
    </row>
    <row r="73" spans="2:54" x14ac:dyDescent="0.25">
      <c r="G73" s="1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s="14"/>
    </row>
    <row r="74" spans="2:54" x14ac:dyDescent="0.25">
      <c r="G74" s="13"/>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s="14"/>
    </row>
    <row r="75" spans="2:54" x14ac:dyDescent="0.25">
      <c r="G75" s="13"/>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s="14"/>
    </row>
    <row r="76" spans="2:54" x14ac:dyDescent="0.25">
      <c r="G76" s="13"/>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s="14"/>
    </row>
    <row r="77" spans="2:54" x14ac:dyDescent="0.25">
      <c r="G77" s="13"/>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s="14"/>
    </row>
    <row r="78" spans="2:54" x14ac:dyDescent="0.25">
      <c r="G78" s="13"/>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s="14"/>
    </row>
    <row r="79" spans="2:54" x14ac:dyDescent="0.25">
      <c r="G79" s="13"/>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s="14"/>
    </row>
    <row r="80" spans="2:54" x14ac:dyDescent="0.25">
      <c r="G80" s="13"/>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s="14"/>
    </row>
    <row r="81" spans="7:54" x14ac:dyDescent="0.25">
      <c r="G81" s="13"/>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s="14"/>
    </row>
    <row r="82" spans="7:54" x14ac:dyDescent="0.25">
      <c r="G82" s="13"/>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s="14"/>
    </row>
    <row r="83" spans="7:54" x14ac:dyDescent="0.25">
      <c r="G83" s="1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s="14"/>
    </row>
    <row r="84" spans="7:54" x14ac:dyDescent="0.25">
      <c r="G84" s="13"/>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s="14"/>
    </row>
    <row r="85" spans="7:54" x14ac:dyDescent="0.25">
      <c r="G85" s="13"/>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s="14"/>
    </row>
    <row r="86" spans="7:54" x14ac:dyDescent="0.25">
      <c r="G86" s="13"/>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s="14"/>
    </row>
    <row r="87" spans="7:54" x14ac:dyDescent="0.25">
      <c r="G87" s="13"/>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s="14"/>
    </row>
    <row r="88" spans="7:54" x14ac:dyDescent="0.25">
      <c r="G88" s="13"/>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s="14"/>
    </row>
    <row r="89" spans="7:54" x14ac:dyDescent="0.25">
      <c r="G89" s="13"/>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s="14"/>
    </row>
    <row r="90" spans="7:54" x14ac:dyDescent="0.25">
      <c r="G90" s="13"/>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s="14"/>
    </row>
    <row r="91" spans="7:54" x14ac:dyDescent="0.25">
      <c r="G91" s="13"/>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s="14"/>
    </row>
    <row r="92" spans="7:54" x14ac:dyDescent="0.25">
      <c r="G92" s="13"/>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s="14"/>
    </row>
    <row r="93" spans="7:54" x14ac:dyDescent="0.25">
      <c r="G93" s="1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s="14"/>
    </row>
    <row r="94" spans="7:54" x14ac:dyDescent="0.25">
      <c r="G94" s="13"/>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s="14"/>
    </row>
    <row r="95" spans="7:54" x14ac:dyDescent="0.25">
      <c r="G95" s="13"/>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s="14"/>
    </row>
    <row r="96" spans="7:54" x14ac:dyDescent="0.25">
      <c r="G96" s="13"/>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s="14"/>
    </row>
    <row r="97" spans="7:54" x14ac:dyDescent="0.25">
      <c r="G97" s="13"/>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s="14"/>
    </row>
    <row r="98" spans="7:54" x14ac:dyDescent="0.25">
      <c r="G98" s="13"/>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s="14"/>
    </row>
    <row r="99" spans="7:54" x14ac:dyDescent="0.25">
      <c r="G99" s="13"/>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s="14"/>
    </row>
    <row r="100" spans="7:54" x14ac:dyDescent="0.25">
      <c r="G100" s="13"/>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s="14"/>
    </row>
    <row r="101" spans="7:54" x14ac:dyDescent="0.25">
      <c r="G101" s="13"/>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s="14"/>
    </row>
    <row r="102" spans="7:54" x14ac:dyDescent="0.25">
      <c r="G102" s="13"/>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s="14"/>
    </row>
    <row r="103" spans="7:54" x14ac:dyDescent="0.25">
      <c r="G103" s="1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s="14"/>
    </row>
    <row r="104" spans="7:54" x14ac:dyDescent="0.25">
      <c r="G104" s="13"/>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s="14"/>
    </row>
    <row r="105" spans="7:54" x14ac:dyDescent="0.25">
      <c r="G105" s="13"/>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s="14"/>
    </row>
    <row r="106" spans="7:54" x14ac:dyDescent="0.25">
      <c r="G106" s="13"/>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s="14"/>
    </row>
    <row r="107" spans="7:54" x14ac:dyDescent="0.25">
      <c r="G107" s="13"/>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s="14"/>
    </row>
    <row r="108" spans="7:54" x14ac:dyDescent="0.25">
      <c r="G108" s="13"/>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s="14"/>
    </row>
    <row r="109" spans="7:54" x14ac:dyDescent="0.25">
      <c r="G109" s="13"/>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s="14"/>
    </row>
    <row r="110" spans="7:54" x14ac:dyDescent="0.25">
      <c r="G110" s="13"/>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s="14"/>
    </row>
    <row r="111" spans="7:54" x14ac:dyDescent="0.25">
      <c r="G111" s="13"/>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s="14"/>
    </row>
    <row r="112" spans="7:54" x14ac:dyDescent="0.25">
      <c r="G112" s="13"/>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s="14"/>
    </row>
    <row r="113" spans="7:54" x14ac:dyDescent="0.25">
      <c r="G113" s="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s="14"/>
    </row>
    <row r="114" spans="7:54" x14ac:dyDescent="0.25">
      <c r="G114" s="13"/>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s="14"/>
    </row>
    <row r="115" spans="7:54" ht="15.75" thickBot="1" x14ac:dyDescent="0.3">
      <c r="G115" s="15"/>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7"/>
    </row>
  </sheetData>
  <conditionalFormatting sqref="B26:B55">
    <cfRule type="expression" dxfId="12" priority="2">
      <formula>A26=""</formula>
    </cfRule>
  </conditionalFormatting>
  <conditionalFormatting sqref="C26:C55">
    <cfRule type="expression" dxfId="11" priority="1">
      <formula>A26=""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Charts</vt:lpstr>
      </vt:variant>
      <vt:variant>
        <vt:i4>1</vt:i4>
      </vt:variant>
    </vt:vector>
  </HeadingPairs>
  <TitlesOfParts>
    <vt:vector size="21" baseType="lpstr">
      <vt:lpstr>Overview</vt:lpstr>
      <vt:lpstr>Project Information</vt:lpstr>
      <vt:lpstr>Parameter Values</vt:lpstr>
      <vt:lpstr>User Volumes</vt:lpstr>
      <vt:lpstr>Capital Costs</vt:lpstr>
      <vt:lpstr>Operations and Maintenance</vt:lpstr>
      <vt:lpstr>Safety</vt:lpstr>
      <vt:lpstr>Travel Time Savings</vt:lpstr>
      <vt:lpstr>Vehicle Operating Cost Savings</vt:lpstr>
      <vt:lpstr>Emissions Reduction</vt:lpstr>
      <vt:lpstr>Other Highway Use Externalities</vt:lpstr>
      <vt:lpstr>Amenity Benefits</vt:lpstr>
      <vt:lpstr>Health Benefits</vt:lpstr>
      <vt:lpstr>Residual Value</vt:lpstr>
      <vt:lpstr>Other Benefit 1</vt:lpstr>
      <vt:lpstr>Other Benefit 2</vt:lpstr>
      <vt:lpstr>Other Benefit 3</vt:lpstr>
      <vt:lpstr>Other Benefit 4</vt:lpstr>
      <vt:lpstr>Summary</vt:lpstr>
      <vt:lpstr>Final Results</vt:lpstr>
      <vt:lpstr>Chart1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Riesenberg, Jordan (OST)</dc:creator>
  <cp:lastModifiedBy>Debbie Parks</cp:lastModifiedBy>
  <dcterms:created xsi:type="dcterms:W3CDTF">2023-03-14T14:10:51Z</dcterms:created>
  <dcterms:modified xsi:type="dcterms:W3CDTF">2025-01-29T20:44:27Z</dcterms:modified>
</cp:coreProperties>
</file>