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Administration\Grant Administration\RAISE Grant City of Republic\FINAL Grant\"/>
    </mc:Choice>
  </mc:AlternateContent>
  <xr:revisionPtr revIDLastSave="0" documentId="13_ncr:1_{86C3B138-7BB1-407E-8A6E-B0BE9D750D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CA Result Summary" sheetId="15" r:id="rId1"/>
    <sheet name="BCA Inputs" sheetId="21" r:id="rId2"/>
    <sheet name="Safety Analysis" sheetId="5" r:id="rId3"/>
    <sheet name="Pedestrian Facility" sheetId="19" r:id="rId4"/>
    <sheet name="Mortality Reduction Benefit" sheetId="23" r:id="rId5"/>
    <sheet name="Railroad Safety" sheetId="20" r:id="rId6"/>
    <sheet name="Railroad AADT" sheetId="18" r:id="rId7"/>
    <sheet name="Railroad O&amp;M" sheetId="16" r:id="rId8"/>
    <sheet name="TravelTime I44_MO360" sheetId="1" r:id="rId9"/>
    <sheet name="TravelTime MO360_US60" sheetId="4" r:id="rId10"/>
    <sheet name="Emissions" sheetId="7" r:id="rId11"/>
    <sheet name="O&amp;M Costs" sheetId="8" r:id="rId12"/>
    <sheet name="Analysis Parameters" sheetId="6" r:id="rId13"/>
    <sheet name="Crash Stats" sheetId="3" r:id="rId14"/>
    <sheet name="TDM Existing" sheetId="9" r:id="rId15"/>
    <sheet name="TDM Project Build" sheetId="10" r:id="rId16"/>
    <sheet name="TDM MM Volumes" sheetId="14" r:id="rId17"/>
    <sheet name="O&amp;M Base Data" sheetId="11" r:id="rId18"/>
    <sheet name="LOTTR" sheetId="2" r:id="rId19"/>
    <sheet name="Agglomeration Economics" sheetId="24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" i="2" l="1"/>
  <c r="K72" i="5"/>
  <c r="C49" i="19"/>
  <c r="C10" i="15"/>
  <c r="D10" i="15"/>
  <c r="C11" i="15"/>
  <c r="D11" i="15"/>
  <c r="C44" i="19"/>
  <c r="C39" i="19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T10" i="8"/>
  <c r="G8" i="4" l="1"/>
  <c r="C29" i="24"/>
  <c r="D5" i="24"/>
  <c r="D6" i="24" s="1"/>
  <c r="D7" i="24" s="1"/>
  <c r="D8" i="24" s="1"/>
  <c r="D9" i="24" s="1"/>
  <c r="D10" i="24" s="1"/>
  <c r="D11" i="24" s="1"/>
  <c r="D12" i="24" s="1"/>
  <c r="D13" i="24" s="1"/>
  <c r="D14" i="24" s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D27" i="24" s="1"/>
  <c r="D28" i="24" s="1"/>
  <c r="E9" i="24"/>
  <c r="F9" i="24" s="1"/>
  <c r="G16" i="23"/>
  <c r="H16" i="23" s="1"/>
  <c r="G18" i="23"/>
  <c r="H18" i="23" s="1"/>
  <c r="G20" i="23"/>
  <c r="H20" i="23" s="1"/>
  <c r="C8" i="23"/>
  <c r="E37" i="23"/>
  <c r="G37" i="23" s="1"/>
  <c r="E36" i="23"/>
  <c r="G36" i="23" s="1"/>
  <c r="E35" i="23"/>
  <c r="G35" i="23" s="1"/>
  <c r="E34" i="23"/>
  <c r="G34" i="23" s="1"/>
  <c r="G26" i="23"/>
  <c r="H26" i="23" s="1"/>
  <c r="G24" i="23"/>
  <c r="H24" i="23" s="1"/>
  <c r="G22" i="23"/>
  <c r="H22" i="23" s="1"/>
  <c r="G14" i="23"/>
  <c r="H14" i="23" s="1"/>
  <c r="G12" i="23"/>
  <c r="H12" i="23" s="1"/>
  <c r="G10" i="23"/>
  <c r="H10" i="23" s="1"/>
  <c r="O16" i="8"/>
  <c r="C16" i="15" s="1"/>
  <c r="T33" i="8"/>
  <c r="U12" i="8"/>
  <c r="U11" i="8"/>
  <c r="U10" i="8"/>
  <c r="U9" i="8"/>
  <c r="F30" i="16"/>
  <c r="E29" i="16"/>
  <c r="D8" i="19"/>
  <c r="U33" i="8" l="1"/>
  <c r="E10" i="24"/>
  <c r="F10" i="24" s="1"/>
  <c r="G10" i="24" s="1"/>
  <c r="E11" i="24"/>
  <c r="F11" i="24" s="1"/>
  <c r="G9" i="24"/>
  <c r="G8" i="23"/>
  <c r="H8" i="23" s="1"/>
  <c r="G25" i="23"/>
  <c r="H25" i="23" s="1"/>
  <c r="G15" i="23"/>
  <c r="H15" i="23" s="1"/>
  <c r="G9" i="23"/>
  <c r="G11" i="23"/>
  <c r="H11" i="23" s="1"/>
  <c r="G13" i="23"/>
  <c r="H13" i="23" s="1"/>
  <c r="G17" i="23"/>
  <c r="H17" i="23" s="1"/>
  <c r="G19" i="23"/>
  <c r="H19" i="23" s="1"/>
  <c r="G21" i="23"/>
  <c r="H21" i="23" s="1"/>
  <c r="G23" i="23"/>
  <c r="H23" i="23" s="1"/>
  <c r="G27" i="23"/>
  <c r="H27" i="23" s="1"/>
  <c r="C10" i="21"/>
  <c r="B10" i="21"/>
  <c r="C9" i="21"/>
  <c r="B9" i="21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F27" i="19"/>
  <c r="E27" i="19"/>
  <c r="C27" i="19"/>
  <c r="F26" i="19"/>
  <c r="E26" i="19"/>
  <c r="C26" i="19"/>
  <c r="F25" i="19"/>
  <c r="E25" i="19"/>
  <c r="C25" i="19"/>
  <c r="D25" i="19" s="1"/>
  <c r="F24" i="19"/>
  <c r="E24" i="19"/>
  <c r="C24" i="19"/>
  <c r="F23" i="19"/>
  <c r="E23" i="19"/>
  <c r="C23" i="19"/>
  <c r="D23" i="19" s="1"/>
  <c r="F22" i="19"/>
  <c r="E22" i="19"/>
  <c r="C22" i="19"/>
  <c r="D22" i="19" s="1"/>
  <c r="F21" i="19"/>
  <c r="E21" i="19"/>
  <c r="C21" i="19"/>
  <c r="D21" i="19" s="1"/>
  <c r="F20" i="19"/>
  <c r="E20" i="19"/>
  <c r="C20" i="19"/>
  <c r="F19" i="19"/>
  <c r="E19" i="19"/>
  <c r="C19" i="19"/>
  <c r="F18" i="19"/>
  <c r="E18" i="19"/>
  <c r="C18" i="19"/>
  <c r="D18" i="19" s="1"/>
  <c r="F17" i="19"/>
  <c r="E17" i="19"/>
  <c r="C17" i="19"/>
  <c r="F16" i="19"/>
  <c r="E16" i="19"/>
  <c r="C16" i="19"/>
  <c r="F15" i="19"/>
  <c r="E15" i="19"/>
  <c r="C15" i="19"/>
  <c r="F14" i="19"/>
  <c r="E14" i="19"/>
  <c r="C14" i="19"/>
  <c r="F13" i="19"/>
  <c r="E13" i="19"/>
  <c r="C13" i="19"/>
  <c r="D13" i="19" s="1"/>
  <c r="F12" i="19"/>
  <c r="E12" i="19"/>
  <c r="C12" i="19"/>
  <c r="D12" i="19" s="1"/>
  <c r="F11" i="19"/>
  <c r="E11" i="19"/>
  <c r="C11" i="19"/>
  <c r="F10" i="19"/>
  <c r="E10" i="19"/>
  <c r="C10" i="19"/>
  <c r="D10" i="19" s="1"/>
  <c r="F9" i="19"/>
  <c r="E9" i="19"/>
  <c r="C9" i="19"/>
  <c r="D9" i="19" s="1"/>
  <c r="F8" i="19"/>
  <c r="E8" i="19"/>
  <c r="C8" i="19"/>
  <c r="C11" i="18"/>
  <c r="D11" i="18" s="1"/>
  <c r="E11" i="18" s="1"/>
  <c r="F11" i="18" s="1"/>
  <c r="G11" i="18" s="1"/>
  <c r="H11" i="18" s="1"/>
  <c r="I11" i="18" s="1"/>
  <c r="J11" i="18" s="1"/>
  <c r="K11" i="18" s="1"/>
  <c r="L11" i="18" s="1"/>
  <c r="M11" i="18" s="1"/>
  <c r="N11" i="18" s="1"/>
  <c r="B14" i="18" s="1"/>
  <c r="C14" i="18" s="1"/>
  <c r="D14" i="18" s="1"/>
  <c r="E14" i="18" s="1"/>
  <c r="F14" i="18" s="1"/>
  <c r="G14" i="18" s="1"/>
  <c r="H14" i="18" s="1"/>
  <c r="I14" i="18" s="1"/>
  <c r="J14" i="18" s="1"/>
  <c r="K14" i="18" s="1"/>
  <c r="L14" i="18" s="1"/>
  <c r="M14" i="18" s="1"/>
  <c r="B4" i="18"/>
  <c r="C4" i="18" s="1"/>
  <c r="D4" i="18" s="1"/>
  <c r="E4" i="18" s="1"/>
  <c r="F4" i="18" s="1"/>
  <c r="G4" i="18" s="1"/>
  <c r="H4" i="18" s="1"/>
  <c r="I4" i="18" s="1"/>
  <c r="J4" i="18" s="1"/>
  <c r="K4" i="18" s="1"/>
  <c r="L4" i="18" s="1"/>
  <c r="M4" i="18" s="1"/>
  <c r="N4" i="18" s="1"/>
  <c r="B7" i="18" s="1"/>
  <c r="C7" i="18" s="1"/>
  <c r="D7" i="18" s="1"/>
  <c r="E7" i="18" s="1"/>
  <c r="F7" i="18" s="1"/>
  <c r="G7" i="18" s="1"/>
  <c r="H7" i="18" s="1"/>
  <c r="I7" i="18" s="1"/>
  <c r="J7" i="18" s="1"/>
  <c r="K7" i="18" s="1"/>
  <c r="L7" i="18" s="1"/>
  <c r="M7" i="18" s="1"/>
  <c r="E28" i="16"/>
  <c r="F28" i="16" s="1"/>
  <c r="D28" i="16"/>
  <c r="F27" i="16"/>
  <c r="E27" i="16"/>
  <c r="E26" i="16"/>
  <c r="F26" i="16" s="1"/>
  <c r="F25" i="16"/>
  <c r="E25" i="16"/>
  <c r="D24" i="16"/>
  <c r="E24" i="16" s="1"/>
  <c r="F24" i="16" s="1"/>
  <c r="D23" i="16"/>
  <c r="E23" i="16" s="1"/>
  <c r="F23" i="16" s="1"/>
  <c r="D22" i="16"/>
  <c r="E22" i="16" s="1"/>
  <c r="F22" i="16" s="1"/>
  <c r="E21" i="16"/>
  <c r="F21" i="16" s="1"/>
  <c r="D21" i="16"/>
  <c r="D20" i="16"/>
  <c r="E20" i="16" s="1"/>
  <c r="F20" i="16" s="1"/>
  <c r="E19" i="16"/>
  <c r="F19" i="16" s="1"/>
  <c r="D19" i="16"/>
  <c r="D18" i="16"/>
  <c r="E18" i="16" s="1"/>
  <c r="F18" i="16" s="1"/>
  <c r="E17" i="16"/>
  <c r="F17" i="16" s="1"/>
  <c r="D17" i="16"/>
  <c r="D16" i="16"/>
  <c r="E16" i="16" s="1"/>
  <c r="F16" i="16" s="1"/>
  <c r="D15" i="16"/>
  <c r="E15" i="16" s="1"/>
  <c r="F15" i="16" s="1"/>
  <c r="D14" i="16"/>
  <c r="E14" i="16" s="1"/>
  <c r="F14" i="16" s="1"/>
  <c r="E13" i="16"/>
  <c r="F13" i="16" s="1"/>
  <c r="D13" i="16"/>
  <c r="D12" i="16"/>
  <c r="E12" i="16" s="1"/>
  <c r="F12" i="16" s="1"/>
  <c r="E11" i="16"/>
  <c r="F11" i="16" s="1"/>
  <c r="D11" i="16"/>
  <c r="D10" i="16"/>
  <c r="E10" i="16" s="1"/>
  <c r="F10" i="16" s="1"/>
  <c r="E9" i="16"/>
  <c r="F9" i="16" s="1"/>
  <c r="D9" i="16"/>
  <c r="D8" i="16"/>
  <c r="D7" i="16"/>
  <c r="D6" i="16"/>
  <c r="D5" i="16"/>
  <c r="D4" i="16"/>
  <c r="G8" i="19" l="1"/>
  <c r="H8" i="19" s="1"/>
  <c r="B12" i="21"/>
  <c r="C12" i="21"/>
  <c r="G23" i="19"/>
  <c r="H23" i="19" s="1"/>
  <c r="E12" i="24"/>
  <c r="F12" i="24" s="1"/>
  <c r="H9" i="23"/>
  <c r="H29" i="23" s="1"/>
  <c r="C13" i="15" s="1"/>
  <c r="G28" i="23"/>
  <c r="D13" i="15" s="1"/>
  <c r="D20" i="19"/>
  <c r="G20" i="19" s="1"/>
  <c r="H20" i="19" s="1"/>
  <c r="D16" i="19"/>
  <c r="G16" i="19" s="1"/>
  <c r="H16" i="19" s="1"/>
  <c r="D24" i="19"/>
  <c r="G24" i="19" s="1"/>
  <c r="H24" i="19" s="1"/>
  <c r="D14" i="19"/>
  <c r="G14" i="19" s="1"/>
  <c r="H14" i="19" s="1"/>
  <c r="D17" i="19"/>
  <c r="G17" i="19" s="1"/>
  <c r="H17" i="19" s="1"/>
  <c r="D26" i="19"/>
  <c r="G26" i="19" s="1"/>
  <c r="H26" i="19" s="1"/>
  <c r="D11" i="19"/>
  <c r="G11" i="19" s="1"/>
  <c r="H11" i="19" s="1"/>
  <c r="D15" i="19"/>
  <c r="G15" i="19" s="1"/>
  <c r="H15" i="19" s="1"/>
  <c r="D19" i="19"/>
  <c r="G19" i="19" s="1"/>
  <c r="H19" i="19" s="1"/>
  <c r="D27" i="19"/>
  <c r="G27" i="19" s="1"/>
  <c r="H27" i="19" s="1"/>
  <c r="G69" i="20"/>
  <c r="H30" i="20"/>
  <c r="H49" i="20"/>
  <c r="H70" i="20" s="1"/>
  <c r="G29" i="20"/>
  <c r="G18" i="19"/>
  <c r="H18" i="19" s="1"/>
  <c r="G22" i="19"/>
  <c r="H22" i="19" s="1"/>
  <c r="G9" i="19"/>
  <c r="G13" i="19"/>
  <c r="H13" i="19" s="1"/>
  <c r="G10" i="19"/>
  <c r="H10" i="19" s="1"/>
  <c r="G25" i="19"/>
  <c r="H25" i="19" s="1"/>
  <c r="G12" i="19"/>
  <c r="H12" i="19" s="1"/>
  <c r="G21" i="19"/>
  <c r="H21" i="19" s="1"/>
  <c r="D75" i="20" l="1"/>
  <c r="D12" i="15" s="1"/>
  <c r="D15" i="15" s="1"/>
  <c r="D17" i="15" s="1"/>
  <c r="D76" i="20"/>
  <c r="C12" i="15" s="1"/>
  <c r="C15" i="15" s="1"/>
  <c r="C17" i="15" s="1"/>
  <c r="G11" i="24"/>
  <c r="E13" i="24"/>
  <c r="F13" i="24" s="1"/>
  <c r="G12" i="24"/>
  <c r="G28" i="19"/>
  <c r="H9" i="19"/>
  <c r="H29" i="19" s="1"/>
  <c r="E14" i="24" l="1"/>
  <c r="F14" i="24" s="1"/>
  <c r="G13" i="24" l="1"/>
  <c r="G14" i="24"/>
  <c r="E15" i="24"/>
  <c r="F15" i="24" s="1"/>
  <c r="Q27" i="14"/>
  <c r="N27" i="14"/>
  <c r="Q26" i="14"/>
  <c r="N26" i="14"/>
  <c r="Q25" i="14"/>
  <c r="N25" i="14"/>
  <c r="A24" i="14"/>
  <c r="B23" i="14" s="1"/>
  <c r="Q23" i="14"/>
  <c r="Q28" i="14" s="1"/>
  <c r="N23" i="14"/>
  <c r="N28" i="14" s="1"/>
  <c r="H23" i="14"/>
  <c r="E23" i="14"/>
  <c r="Q22" i="14"/>
  <c r="N22" i="14"/>
  <c r="H22" i="14"/>
  <c r="E22" i="14"/>
  <c r="Q21" i="14"/>
  <c r="N21" i="14"/>
  <c r="H21" i="14"/>
  <c r="E21" i="14"/>
  <c r="Q20" i="14"/>
  <c r="N20" i="14"/>
  <c r="A9" i="14"/>
  <c r="B3" i="14" s="1"/>
  <c r="H8" i="14"/>
  <c r="H16" i="14" s="1"/>
  <c r="E8" i="14"/>
  <c r="E16" i="14" s="1"/>
  <c r="B8" i="14"/>
  <c r="Q7" i="14"/>
  <c r="N7" i="14"/>
  <c r="H7" i="14"/>
  <c r="E7" i="14"/>
  <c r="J6" i="14"/>
  <c r="H6" i="14"/>
  <c r="E6" i="14"/>
  <c r="Q5" i="14"/>
  <c r="N5" i="14"/>
  <c r="K5" i="14"/>
  <c r="Q10" i="14" s="1"/>
  <c r="H5" i="14"/>
  <c r="E5" i="14"/>
  <c r="Q4" i="14"/>
  <c r="N4" i="14"/>
  <c r="K4" i="14"/>
  <c r="Q9" i="14" s="1"/>
  <c r="H4" i="14"/>
  <c r="E4" i="14"/>
  <c r="B4" i="14"/>
  <c r="H12" i="14" s="1"/>
  <c r="Q3" i="14"/>
  <c r="N3" i="14"/>
  <c r="K3" i="14"/>
  <c r="Q8" i="14" s="1"/>
  <c r="H3" i="14"/>
  <c r="E3" i="14"/>
  <c r="Q2" i="14"/>
  <c r="N2" i="14"/>
  <c r="K2" i="14"/>
  <c r="K6" i="14" s="1"/>
  <c r="H2" i="14"/>
  <c r="E2" i="14"/>
  <c r="G15" i="24" l="1"/>
  <c r="E16" i="24"/>
  <c r="F16" i="24" s="1"/>
  <c r="H11" i="14"/>
  <c r="E11" i="14"/>
  <c r="H28" i="14"/>
  <c r="E28" i="14"/>
  <c r="N29" i="14"/>
  <c r="Q29" i="14"/>
  <c r="Q11" i="14"/>
  <c r="N8" i="14"/>
  <c r="N11" i="14" s="1"/>
  <c r="B20" i="14"/>
  <c r="N9" i="14"/>
  <c r="B21" i="14"/>
  <c r="B5" i="14"/>
  <c r="N10" i="14"/>
  <c r="B22" i="14"/>
  <c r="B2" i="14"/>
  <c r="B6" i="14"/>
  <c r="E12" i="14"/>
  <c r="B7" i="14"/>
  <c r="E17" i="24" l="1"/>
  <c r="F17" i="24" s="1"/>
  <c r="G16" i="24"/>
  <c r="H15" i="14"/>
  <c r="E15" i="14"/>
  <c r="H14" i="14"/>
  <c r="E14" i="14"/>
  <c r="H26" i="14"/>
  <c r="E26" i="14"/>
  <c r="H27" i="14"/>
  <c r="E27" i="14"/>
  <c r="H10" i="14"/>
  <c r="E10" i="14"/>
  <c r="B9" i="14"/>
  <c r="H13" i="14"/>
  <c r="E13" i="14"/>
  <c r="H25" i="14"/>
  <c r="H29" i="14" s="1"/>
  <c r="E25" i="14"/>
  <c r="E29" i="14" s="1"/>
  <c r="B24" i="14"/>
  <c r="G17" i="24" l="1"/>
  <c r="E18" i="24"/>
  <c r="F18" i="24" s="1"/>
  <c r="E17" i="14"/>
  <c r="H17" i="14"/>
  <c r="G18" i="24" l="1"/>
  <c r="E19" i="24"/>
  <c r="F19" i="24" s="1"/>
  <c r="I23" i="11"/>
  <c r="I17" i="11"/>
  <c r="I11" i="11"/>
  <c r="I6" i="11"/>
  <c r="C10" i="8"/>
  <c r="C7" i="8"/>
  <c r="B7" i="8"/>
  <c r="G5" i="8" s="1"/>
  <c r="G17" i="8" s="1"/>
  <c r="G19" i="24" l="1"/>
  <c r="E20" i="24"/>
  <c r="F20" i="24" s="1"/>
  <c r="G18" i="8"/>
  <c r="G6" i="8"/>
  <c r="G20" i="8"/>
  <c r="G7" i="8"/>
  <c r="G19" i="8"/>
  <c r="G8" i="8"/>
  <c r="G21" i="8"/>
  <c r="G9" i="8"/>
  <c r="G22" i="8"/>
  <c r="G10" i="8"/>
  <c r="G23" i="8"/>
  <c r="G11" i="8"/>
  <c r="G24" i="8"/>
  <c r="G12" i="8"/>
  <c r="G13" i="8" s="1"/>
  <c r="G25" i="8"/>
  <c r="G14" i="8"/>
  <c r="G26" i="8"/>
  <c r="G15" i="8"/>
  <c r="G27" i="8"/>
  <c r="G16" i="8"/>
  <c r="G28" i="8"/>
  <c r="H7" i="8"/>
  <c r="E21" i="24" l="1"/>
  <c r="F21" i="24" s="1"/>
  <c r="G20" i="24"/>
  <c r="H19" i="8"/>
  <c r="H8" i="8"/>
  <c r="H18" i="8"/>
  <c r="H17" i="8"/>
  <c r="H28" i="8"/>
  <c r="H16" i="8"/>
  <c r="H27" i="8"/>
  <c r="H15" i="8"/>
  <c r="H26" i="8"/>
  <c r="H14" i="8"/>
  <c r="H13" i="8"/>
  <c r="H24" i="8"/>
  <c r="H12" i="8"/>
  <c r="H25" i="8"/>
  <c r="H23" i="8"/>
  <c r="H11" i="8"/>
  <c r="H21" i="8"/>
  <c r="H9" i="8"/>
  <c r="H22" i="8"/>
  <c r="H10" i="8"/>
  <c r="I7" i="8"/>
  <c r="H20" i="8"/>
  <c r="G29" i="8"/>
  <c r="G32" i="8" s="1"/>
  <c r="G21" i="24" l="1"/>
  <c r="E22" i="24"/>
  <c r="F22" i="24" s="1"/>
  <c r="H29" i="8"/>
  <c r="G33" i="8" s="1"/>
  <c r="I8" i="8"/>
  <c r="E23" i="24" l="1"/>
  <c r="F23" i="24" s="1"/>
  <c r="G22" i="24"/>
  <c r="I9" i="8"/>
  <c r="E24" i="24" l="1"/>
  <c r="F24" i="24" s="1"/>
  <c r="G23" i="24"/>
  <c r="I10" i="8"/>
  <c r="I27" i="7"/>
  <c r="J27" i="7" s="1"/>
  <c r="I26" i="7"/>
  <c r="J26" i="7" s="1"/>
  <c r="I25" i="7"/>
  <c r="J25" i="7" s="1"/>
  <c r="I24" i="7"/>
  <c r="J24" i="7" s="1"/>
  <c r="I23" i="7"/>
  <c r="J23" i="7" s="1"/>
  <c r="I22" i="7"/>
  <c r="J22" i="7" s="1"/>
  <c r="I21" i="7"/>
  <c r="J21" i="7" s="1"/>
  <c r="I20" i="7"/>
  <c r="J20" i="7" s="1"/>
  <c r="I19" i="7"/>
  <c r="J19" i="7" s="1"/>
  <c r="I18" i="7"/>
  <c r="J18" i="7" s="1"/>
  <c r="I17" i="7"/>
  <c r="J17" i="7" s="1"/>
  <c r="I16" i="7"/>
  <c r="J16" i="7" s="1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J33" i="7"/>
  <c r="J35" i="7" s="1"/>
  <c r="I33" i="7"/>
  <c r="I35" i="7" s="1"/>
  <c r="E25" i="24" l="1"/>
  <c r="F25" i="24" s="1"/>
  <c r="G24" i="24"/>
  <c r="J28" i="7"/>
  <c r="I28" i="7"/>
  <c r="I11" i="8"/>
  <c r="I39" i="7"/>
  <c r="J39" i="7" s="1"/>
  <c r="I41" i="7" l="1"/>
  <c r="J41" i="7" s="1"/>
  <c r="C4" i="7" s="1"/>
  <c r="I40" i="7"/>
  <c r="J40" i="7" s="1"/>
  <c r="E26" i="24"/>
  <c r="F26" i="24" s="1"/>
  <c r="G25" i="24"/>
  <c r="I12" i="8"/>
  <c r="A4" i="7" l="1"/>
  <c r="J44" i="7"/>
  <c r="K44" i="7" s="1"/>
  <c r="B4" i="7"/>
  <c r="J45" i="7"/>
  <c r="K45" i="7" s="1"/>
  <c r="E27" i="24"/>
  <c r="F27" i="24" s="1"/>
  <c r="G26" i="24"/>
  <c r="I13" i="8"/>
  <c r="I17" i="1"/>
  <c r="E66" i="5"/>
  <c r="F66" i="5" s="1"/>
  <c r="E65" i="5"/>
  <c r="F65" i="5" s="1"/>
  <c r="F64" i="5"/>
  <c r="F63" i="5"/>
  <c r="B14" i="4"/>
  <c r="F9" i="4"/>
  <c r="F8" i="4"/>
  <c r="D21" i="4"/>
  <c r="D19" i="1"/>
  <c r="M21" i="7" l="1"/>
  <c r="N21" i="7" s="1"/>
  <c r="M13" i="7"/>
  <c r="N13" i="7" s="1"/>
  <c r="M22" i="7"/>
  <c r="N22" i="7" s="1"/>
  <c r="M6" i="7"/>
  <c r="M20" i="7"/>
  <c r="N20" i="7" s="1"/>
  <c r="M12" i="7"/>
  <c r="N12" i="7" s="1"/>
  <c r="M25" i="7"/>
  <c r="N25" i="7" s="1"/>
  <c r="M7" i="7"/>
  <c r="N7" i="7" s="1"/>
  <c r="M27" i="7"/>
  <c r="N27" i="7" s="1"/>
  <c r="M19" i="7"/>
  <c r="N19" i="7" s="1"/>
  <c r="M11" i="7"/>
  <c r="N11" i="7" s="1"/>
  <c r="M9" i="7"/>
  <c r="N9" i="7" s="1"/>
  <c r="M14" i="7"/>
  <c r="N14" i="7" s="1"/>
  <c r="M26" i="7"/>
  <c r="N26" i="7" s="1"/>
  <c r="M18" i="7"/>
  <c r="N18" i="7" s="1"/>
  <c r="M10" i="7"/>
  <c r="N10" i="7" s="1"/>
  <c r="M17" i="7"/>
  <c r="N17" i="7" s="1"/>
  <c r="M23" i="7"/>
  <c r="N23" i="7" s="1"/>
  <c r="M24" i="7"/>
  <c r="N24" i="7" s="1"/>
  <c r="M16" i="7"/>
  <c r="N16" i="7" s="1"/>
  <c r="M8" i="7"/>
  <c r="N8" i="7" s="1"/>
  <c r="M15" i="7"/>
  <c r="N15" i="7" s="1"/>
  <c r="H63" i="5"/>
  <c r="I63" i="5" s="1"/>
  <c r="F67" i="5"/>
  <c r="E28" i="24"/>
  <c r="F28" i="24" s="1"/>
  <c r="G27" i="24"/>
  <c r="I14" i="8"/>
  <c r="H65" i="5"/>
  <c r="I65" i="5" s="1"/>
  <c r="K65" i="5" s="1"/>
  <c r="H64" i="5"/>
  <c r="I64" i="5" s="1"/>
  <c r="K64" i="5" s="1"/>
  <c r="H66" i="5"/>
  <c r="I66" i="5" s="1"/>
  <c r="K66" i="5" s="1"/>
  <c r="G11" i="3"/>
  <c r="G21" i="3"/>
  <c r="G26" i="3"/>
  <c r="G16" i="3"/>
  <c r="F26" i="3"/>
  <c r="E26" i="3"/>
  <c r="C26" i="3"/>
  <c r="B26" i="3"/>
  <c r="F21" i="3"/>
  <c r="E21" i="3"/>
  <c r="C21" i="3"/>
  <c r="B21" i="3"/>
  <c r="F16" i="3"/>
  <c r="E16" i="3"/>
  <c r="C16" i="3"/>
  <c r="B16" i="3"/>
  <c r="H15" i="4"/>
  <c r="I15" i="4" s="1"/>
  <c r="H14" i="4"/>
  <c r="I14" i="4" s="1"/>
  <c r="H12" i="4"/>
  <c r="I12" i="4" s="1"/>
  <c r="B21" i="4"/>
  <c r="B23" i="4" s="1"/>
  <c r="C23" i="4" s="1"/>
  <c r="B13" i="4"/>
  <c r="B11" i="4"/>
  <c r="D4" i="4"/>
  <c r="D22" i="4" s="1"/>
  <c r="D3" i="4"/>
  <c r="D23" i="4" s="1"/>
  <c r="C4" i="4"/>
  <c r="C3" i="4"/>
  <c r="C5" i="4" s="1"/>
  <c r="B10" i="4"/>
  <c r="G9" i="4"/>
  <c r="B12" i="4" s="1"/>
  <c r="G6" i="4"/>
  <c r="F6" i="4"/>
  <c r="B5" i="4"/>
  <c r="B19" i="1"/>
  <c r="C19" i="1" s="1"/>
  <c r="B17" i="1" s="1"/>
  <c r="D4" i="1"/>
  <c r="D20" i="1" s="1"/>
  <c r="D3" i="1"/>
  <c r="D21" i="1" s="1"/>
  <c r="C4" i="1"/>
  <c r="C3" i="1"/>
  <c r="B10" i="1"/>
  <c r="B9" i="1"/>
  <c r="B7" i="1"/>
  <c r="B5" i="1"/>
  <c r="N6" i="7" l="1"/>
  <c r="N28" i="7" s="1"/>
  <c r="O29" i="7" s="1"/>
  <c r="M28" i="7"/>
  <c r="K63" i="5"/>
  <c r="K67" i="5" s="1"/>
  <c r="I67" i="5"/>
  <c r="H67" i="5"/>
  <c r="K70" i="5" s="1"/>
  <c r="F21" i="1"/>
  <c r="I16" i="4"/>
  <c r="F30" i="24"/>
  <c r="G28" i="24"/>
  <c r="G31" i="24" s="1"/>
  <c r="I15" i="8"/>
  <c r="D5" i="4"/>
  <c r="D24" i="4" s="1"/>
  <c r="B22" i="4"/>
  <c r="C21" i="4"/>
  <c r="B19" i="4" s="1"/>
  <c r="D5" i="1"/>
  <c r="D22" i="1" s="1"/>
  <c r="C5" i="1"/>
  <c r="I69" i="5" l="1"/>
  <c r="I16" i="8"/>
  <c r="C22" i="4"/>
  <c r="B24" i="4"/>
  <c r="C24" i="4" s="1"/>
  <c r="L27" i="5"/>
  <c r="L19" i="5"/>
  <c r="L17" i="5"/>
  <c r="L15" i="5"/>
  <c r="L12" i="5"/>
  <c r="L11" i="5"/>
  <c r="L9" i="5"/>
  <c r="L7" i="5"/>
  <c r="L26" i="5"/>
  <c r="L22" i="5"/>
  <c r="L20" i="5"/>
  <c r="L18" i="5"/>
  <c r="L16" i="5"/>
  <c r="L13" i="5"/>
  <c r="L10" i="5"/>
  <c r="L8" i="5"/>
  <c r="L25" i="5"/>
  <c r="L24" i="5"/>
  <c r="L6" i="5"/>
  <c r="L23" i="5"/>
  <c r="L21" i="5"/>
  <c r="L14" i="5"/>
  <c r="C10" i="6"/>
  <c r="B10" i="6"/>
  <c r="C9" i="6"/>
  <c r="B9" i="6"/>
  <c r="C12" i="6" l="1"/>
  <c r="B12" i="6"/>
  <c r="I17" i="8"/>
  <c r="L28" i="5"/>
  <c r="F20" i="4"/>
  <c r="G20" i="4" s="1"/>
  <c r="H20" i="4"/>
  <c r="I20" i="4" s="1"/>
  <c r="F19" i="4"/>
  <c r="G19" i="4" s="1"/>
  <c r="H19" i="4"/>
  <c r="I19" i="4" s="1"/>
  <c r="F43" i="5"/>
  <c r="F42" i="5"/>
  <c r="B7" i="5"/>
  <c r="B6" i="5"/>
  <c r="I18" i="8" l="1"/>
  <c r="F21" i="4"/>
  <c r="G21" i="4"/>
  <c r="I21" i="4"/>
  <c r="H21" i="4"/>
  <c r="F44" i="5"/>
  <c r="F51" i="5" s="1"/>
  <c r="B8" i="5"/>
  <c r="F49" i="5" l="1"/>
  <c r="H49" i="5" s="1"/>
  <c r="I49" i="5" s="1"/>
  <c r="K49" i="5" s="1"/>
  <c r="F50" i="5"/>
  <c r="H50" i="5" s="1"/>
  <c r="I50" i="5" s="1"/>
  <c r="K50" i="5" s="1"/>
  <c r="F48" i="5"/>
  <c r="I19" i="8"/>
  <c r="L4" i="4"/>
  <c r="L9" i="4"/>
  <c r="L7" i="4"/>
  <c r="L21" i="4"/>
  <c r="L10" i="4"/>
  <c r="L19" i="4"/>
  <c r="L5" i="4"/>
  <c r="L22" i="4"/>
  <c r="L15" i="4"/>
  <c r="L16" i="4"/>
  <c r="L18" i="4"/>
  <c r="L14" i="4"/>
  <c r="L23" i="4"/>
  <c r="L12" i="4"/>
  <c r="L6" i="4"/>
  <c r="L20" i="4"/>
  <c r="L24" i="4"/>
  <c r="L8" i="4"/>
  <c r="L25" i="4"/>
  <c r="L17" i="4"/>
  <c r="L11" i="4"/>
  <c r="L13" i="4"/>
  <c r="F34" i="5"/>
  <c r="H34" i="5" s="1"/>
  <c r="I34" i="5" s="1"/>
  <c r="K34" i="5" s="1"/>
  <c r="F33" i="5"/>
  <c r="H33" i="5" s="1"/>
  <c r="I33" i="5" s="1"/>
  <c r="K33" i="5" s="1"/>
  <c r="F32" i="5"/>
  <c r="H32" i="5" s="1"/>
  <c r="I32" i="5" s="1"/>
  <c r="K32" i="5" s="1"/>
  <c r="F35" i="5"/>
  <c r="H35" i="5" s="1"/>
  <c r="I35" i="5" s="1"/>
  <c r="K35" i="5" s="1"/>
  <c r="H48" i="5"/>
  <c r="I48" i="5" s="1"/>
  <c r="K48" i="5" s="1"/>
  <c r="H51" i="5"/>
  <c r="I51" i="5" s="1"/>
  <c r="K51" i="5" s="1"/>
  <c r="I20" i="8" l="1"/>
  <c r="K52" i="5"/>
  <c r="I15" i="5" s="1"/>
  <c r="K36" i="5"/>
  <c r="I18" i="5" l="1"/>
  <c r="I6" i="5"/>
  <c r="I16" i="5"/>
  <c r="I21" i="5"/>
  <c r="I12" i="5"/>
  <c r="I22" i="5"/>
  <c r="I8" i="5"/>
  <c r="I11" i="5"/>
  <c r="I21" i="8"/>
  <c r="I23" i="5"/>
  <c r="I10" i="5"/>
  <c r="I24" i="5"/>
  <c r="I13" i="5"/>
  <c r="I19" i="5"/>
  <c r="I25" i="5"/>
  <c r="I7" i="5"/>
  <c r="I17" i="5"/>
  <c r="I20" i="5"/>
  <c r="I26" i="5"/>
  <c r="I9" i="5"/>
  <c r="I14" i="5"/>
  <c r="I27" i="5"/>
  <c r="F7" i="5"/>
  <c r="F27" i="5"/>
  <c r="F21" i="5"/>
  <c r="F18" i="5"/>
  <c r="F11" i="5"/>
  <c r="F6" i="5"/>
  <c r="F26" i="5"/>
  <c r="F20" i="5"/>
  <c r="F16" i="5"/>
  <c r="F13" i="5"/>
  <c r="F8" i="5"/>
  <c r="F25" i="5"/>
  <c r="F17" i="5"/>
  <c r="F14" i="5"/>
  <c r="F24" i="5"/>
  <c r="F9" i="5"/>
  <c r="F23" i="5"/>
  <c r="F22" i="5"/>
  <c r="F19" i="5"/>
  <c r="F15" i="5"/>
  <c r="F10" i="5"/>
  <c r="F12" i="5"/>
  <c r="I28" i="5" l="1"/>
  <c r="I22" i="8"/>
  <c r="F28" i="5"/>
  <c r="M28" i="5" l="1"/>
  <c r="I23" i="8"/>
  <c r="F11" i="3"/>
  <c r="E11" i="3"/>
  <c r="C11" i="3"/>
  <c r="B11" i="3"/>
  <c r="G6" i="3"/>
  <c r="F6" i="3"/>
  <c r="E6" i="3"/>
  <c r="C6" i="3"/>
  <c r="B6" i="3"/>
  <c r="B7" i="4"/>
  <c r="B14" i="1"/>
  <c r="R8" i="2"/>
  <c r="L8" i="2"/>
  <c r="F8" i="2"/>
  <c r="R7" i="2"/>
  <c r="L7" i="2"/>
  <c r="F7" i="2"/>
  <c r="R5" i="2"/>
  <c r="L5" i="2"/>
  <c r="F5" i="2"/>
  <c r="R4" i="2"/>
  <c r="L4" i="2"/>
  <c r="F4" i="2"/>
  <c r="I24" i="8" l="1"/>
  <c r="G11" i="1"/>
  <c r="B11" i="1" s="1"/>
  <c r="F11" i="1"/>
  <c r="B12" i="1" s="1"/>
  <c r="F22" i="1" s="1"/>
  <c r="B21" i="1"/>
  <c r="C21" i="1" s="1"/>
  <c r="B20" i="1"/>
  <c r="C20" i="1" s="1"/>
  <c r="H21" i="1" s="1"/>
  <c r="H16" i="1"/>
  <c r="I16" i="1" s="1"/>
  <c r="H14" i="1"/>
  <c r="I14" i="1" s="1"/>
  <c r="I18" i="1" s="1"/>
  <c r="G21" i="1" s="1"/>
  <c r="G22" i="1" l="1"/>
  <c r="I21" i="1"/>
  <c r="I25" i="8"/>
  <c r="B22" i="1"/>
  <c r="C22" i="1" s="1"/>
  <c r="H22" i="1" s="1"/>
  <c r="I22" i="1" s="1"/>
  <c r="I26" i="8" l="1"/>
  <c r="G23" i="1"/>
  <c r="I27" i="8" l="1"/>
  <c r="H23" i="1"/>
  <c r="F23" i="1"/>
  <c r="M20" i="4"/>
  <c r="M22" i="4"/>
  <c r="M16" i="4"/>
  <c r="M19" i="4"/>
  <c r="M17" i="4"/>
  <c r="M21" i="4"/>
  <c r="M9" i="4"/>
  <c r="M7" i="4"/>
  <c r="M14" i="4"/>
  <c r="M23" i="4"/>
  <c r="M15" i="4"/>
  <c r="M10" i="4"/>
  <c r="M25" i="4"/>
  <c r="M6" i="4"/>
  <c r="M4" i="4"/>
  <c r="M24" i="4"/>
  <c r="M13" i="4"/>
  <c r="M5" i="4"/>
  <c r="M8" i="4"/>
  <c r="M12" i="4"/>
  <c r="M18" i="4"/>
  <c r="M11" i="4"/>
  <c r="I28" i="8" l="1"/>
  <c r="I29" i="8" s="1"/>
  <c r="I23" i="1"/>
  <c r="L4" i="1" s="1"/>
  <c r="M4" i="1" s="1"/>
  <c r="M26" i="4"/>
  <c r="L26" i="4"/>
  <c r="L23" i="1"/>
  <c r="L7" i="1"/>
  <c r="M7" i="1" s="1"/>
  <c r="L14" i="1"/>
  <c r="L8" i="1" l="1"/>
  <c r="M8" i="1" s="1"/>
  <c r="L6" i="1"/>
  <c r="M6" i="1" s="1"/>
  <c r="L22" i="1"/>
  <c r="L15" i="1"/>
  <c r="L9" i="1"/>
  <c r="M9" i="1" s="1"/>
  <c r="L17" i="1"/>
  <c r="L16" i="1"/>
  <c r="L24" i="1"/>
  <c r="L25" i="1"/>
  <c r="L18" i="1"/>
  <c r="L20" i="1"/>
  <c r="L10" i="1"/>
  <c r="M10" i="1" s="1"/>
  <c r="L5" i="1"/>
  <c r="M5" i="1" s="1"/>
  <c r="L13" i="1"/>
  <c r="L11" i="1"/>
  <c r="L19" i="1"/>
  <c r="L12" i="1"/>
  <c r="L21" i="1"/>
  <c r="M11" i="1"/>
  <c r="M12" i="1" l="1"/>
  <c r="M13" i="1" l="1"/>
  <c r="M14" i="1" l="1"/>
  <c r="M15" i="1" l="1"/>
  <c r="M16" i="1" l="1"/>
  <c r="M17" i="1" l="1"/>
  <c r="M18" i="1" l="1"/>
  <c r="M19" i="1" l="1"/>
  <c r="M20" i="1" l="1"/>
  <c r="M21" i="1" l="1"/>
  <c r="M22" i="1" l="1"/>
  <c r="M23" i="1" l="1"/>
  <c r="M24" i="1" l="1"/>
  <c r="M25" i="1" l="1"/>
  <c r="M26" i="1" l="1"/>
  <c r="L26" i="1"/>
</calcChain>
</file>

<file path=xl/sharedStrings.xml><?xml version="1.0" encoding="utf-8"?>
<sst xmlns="http://schemas.openxmlformats.org/spreadsheetml/2006/main" count="6007" uniqueCount="785">
  <si>
    <t>Private Vehicle</t>
  </si>
  <si>
    <t>Calendar Year</t>
  </si>
  <si>
    <t>Project Year</t>
  </si>
  <si>
    <t>VTT Savings</t>
  </si>
  <si>
    <t>Savings Discount</t>
  </si>
  <si>
    <t>Annual $</t>
  </si>
  <si>
    <t>Daily hrs</t>
  </si>
  <si>
    <t>Hourly Travel Time Value per Vehicle Type</t>
  </si>
  <si>
    <t>Total</t>
  </si>
  <si>
    <t>Annual</t>
  </si>
  <si>
    <t>Existing Users</t>
  </si>
  <si>
    <t>Additional Users</t>
  </si>
  <si>
    <r>
      <t>$ Per Person Hour</t>
    </r>
    <r>
      <rPr>
        <vertAlign val="superscript"/>
        <sz val="11"/>
        <color theme="1"/>
        <rFont val="Calibri"/>
        <family val="2"/>
        <scheme val="minor"/>
      </rPr>
      <t>5</t>
    </r>
  </si>
  <si>
    <t>Data Sources:</t>
  </si>
  <si>
    <t xml:space="preserve">Project </t>
  </si>
  <si>
    <t>No Build</t>
  </si>
  <si>
    <t>Acyclica Go Probe Data - Travel Times (Min)</t>
  </si>
  <si>
    <t>Weekdays 6 - 10 AM</t>
  </si>
  <si>
    <t>Weekdays 10 - 4 PM</t>
  </si>
  <si>
    <t>Weekdays 4 - 8 PM</t>
  </si>
  <si>
    <t>Travel Rte MM Between I-44 &amp; US 60</t>
  </si>
  <si>
    <t>Route ID</t>
  </si>
  <si>
    <t>80th</t>
  </si>
  <si>
    <t>50th</t>
  </si>
  <si>
    <t>LOTTR</t>
  </si>
  <si>
    <t>Rte MM - 44 to 360 SB</t>
  </si>
  <si>
    <t>Rte MM - 360 to 60 SB</t>
  </si>
  <si>
    <t>Rte MM -360 to 44 NB</t>
  </si>
  <si>
    <t>Rte MM - 60 to 360 NB</t>
  </si>
  <si>
    <r>
      <t>2020 AADT</t>
    </r>
    <r>
      <rPr>
        <vertAlign val="superscript"/>
        <sz val="11"/>
        <color theme="1"/>
        <rFont val="Calibri"/>
        <family val="2"/>
        <scheme val="minor"/>
      </rPr>
      <t>1</t>
    </r>
  </si>
  <si>
    <r>
      <t>Peak Hr Vol (PM)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</si>
  <si>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Peak  Hr Vol (AM)</t>
    </r>
    <r>
      <rPr>
        <vertAlign val="superscript"/>
        <sz val="11"/>
        <color theme="1"/>
        <rFont val="Calibri"/>
        <family val="2"/>
        <scheme val="minor"/>
      </rPr>
      <t>2</t>
    </r>
  </si>
  <si>
    <r>
      <t>2045 AADT</t>
    </r>
    <r>
      <rPr>
        <vertAlign val="superscript"/>
        <sz val="11"/>
        <color theme="1"/>
        <rFont val="Calibri"/>
        <family val="2"/>
        <scheme val="minor"/>
      </rPr>
      <t>4</t>
    </r>
  </si>
  <si>
    <t>Route Length</t>
  </si>
  <si>
    <t>NPV at 7%</t>
  </si>
  <si>
    <t>Minor Injury</t>
  </si>
  <si>
    <t>PDO</t>
  </si>
  <si>
    <t>Assumptions:</t>
  </si>
  <si>
    <t>Future Travel Demand will lead to LOS F at present capcity.</t>
  </si>
  <si>
    <t>Additional lanes in the built project scenario will return the travel times to near free flow LOS and traveler time savings.</t>
  </si>
  <si>
    <r>
      <t>Avg. Occupancy</t>
    </r>
    <r>
      <rPr>
        <vertAlign val="superscript"/>
        <sz val="11"/>
        <color theme="1"/>
        <rFont val="Calibri"/>
        <family val="2"/>
        <scheme val="minor"/>
      </rPr>
      <t>5</t>
    </r>
  </si>
  <si>
    <t>Fatalities</t>
  </si>
  <si>
    <t>Rte MM - MO360 to US60</t>
  </si>
  <si>
    <t>Annual Avg</t>
  </si>
  <si>
    <t>CMF</t>
  </si>
  <si>
    <t>Convert all-way, stop-controlled intersection to roundabout</t>
  </si>
  <si>
    <t>CMF Name</t>
  </si>
  <si>
    <t>Notes</t>
  </si>
  <si>
    <t>3-leg, 4-leg, Min. AADT 4100; TWO LANE</t>
  </si>
  <si>
    <t>Crash Severity</t>
  </si>
  <si>
    <t>Fatal, Serious Injury, Minor Injury</t>
  </si>
  <si>
    <t>All</t>
  </si>
  <si>
    <t>Urban/Rural</t>
  </si>
  <si>
    <t>Clearinghouse ID</t>
  </si>
  <si>
    <t>Crash Type</t>
  </si>
  <si>
    <t>MoDOT Planning Data Accidents Feb. 28, 2016 - Feb. 28, 2022</t>
  </si>
  <si>
    <t>Disabling/Suspected Serious Injuries</t>
  </si>
  <si>
    <t>Existing Condition</t>
  </si>
  <si>
    <t>No-Build Scenario</t>
  </si>
  <si>
    <t>2045 AADT</t>
  </si>
  <si>
    <t>Segment Length (miles)</t>
  </si>
  <si>
    <t>2045 VMT (Annual)</t>
  </si>
  <si>
    <t>VMT Growth Factor</t>
  </si>
  <si>
    <t>Disabling/Suspected Serious Injury</t>
  </si>
  <si>
    <t>Project Scenario</t>
  </si>
  <si>
    <t>Crash Cost</t>
  </si>
  <si>
    <t>Crash Reduction</t>
  </si>
  <si>
    <t>Annual Benefit</t>
  </si>
  <si>
    <t>Roadway AADT 2020</t>
  </si>
  <si>
    <t>Segment Length (Miles)</t>
  </si>
  <si>
    <t>Travel Data</t>
  </si>
  <si>
    <t>Safety</t>
  </si>
  <si>
    <t>Disabling Injury</t>
  </si>
  <si>
    <t>2020 AADT</t>
  </si>
  <si>
    <t>2020 VMT (Annual)</t>
  </si>
  <si>
    <t>Fatality</t>
  </si>
  <si>
    <t>Roadway VMT 2020</t>
  </si>
  <si>
    <t>Value of Reduced Fatalities, Injuries, &amp; PDO Crashes</t>
  </si>
  <si>
    <t>Value of Travel Time Savings</t>
  </si>
  <si>
    <t>In-Vehicle Travel</t>
  </si>
  <si>
    <t>Personal</t>
  </si>
  <si>
    <t>Hourly Value</t>
  </si>
  <si>
    <t>Business</t>
  </si>
  <si>
    <t>All Purposes</t>
  </si>
  <si>
    <t>Commercial Vehicle Operators</t>
  </si>
  <si>
    <t>Truck Drivers</t>
  </si>
  <si>
    <t>Bus Drivers</t>
  </si>
  <si>
    <t>Vehicle Occupancy Rate for Highway Passenger Vehicles</t>
  </si>
  <si>
    <t>Passenger Vehicles (Weekday Peak)</t>
  </si>
  <si>
    <t>Passenger Vehicles (Weekday Off-Peak)</t>
  </si>
  <si>
    <t>Passenger Vehicles (Weekend)</t>
  </si>
  <si>
    <t>Passenger Vehicles (All Travel)</t>
  </si>
  <si>
    <t>Vehicle Type</t>
  </si>
  <si>
    <t>Avg Occupancy</t>
  </si>
  <si>
    <t>Vehicle Operating Costs</t>
  </si>
  <si>
    <t>Value per Mile</t>
  </si>
  <si>
    <t>Light-Duty Vehicles</t>
  </si>
  <si>
    <t>Commercial Trucks</t>
  </si>
  <si>
    <t>PM Peak Volume 2020</t>
  </si>
  <si>
    <t>AM Peak Volume 2020</t>
  </si>
  <si>
    <t>Bus Volume 2020</t>
  </si>
  <si>
    <t>Single Unit Truck Volume 2020</t>
  </si>
  <si>
    <t>Combo-Semi Volume 2020</t>
  </si>
  <si>
    <t>Roadway Commercial % 2020</t>
  </si>
  <si>
    <t>Roadway AADT 2045 Base Condition</t>
  </si>
  <si>
    <t>Roadway AADT 2045 Build Scenario</t>
  </si>
  <si>
    <t>Roadway VMT 2045 Base Condition</t>
  </si>
  <si>
    <t>Roadway VMT 2045 Build Scenario</t>
  </si>
  <si>
    <t>Segment Length (Miles) Build Scenario</t>
  </si>
  <si>
    <t>VMT Growth No Build v. Build Scenario</t>
  </si>
  <si>
    <t>Additional Users 2045 AM Peak</t>
  </si>
  <si>
    <t>Additional Users 2040 PM Peak</t>
  </si>
  <si>
    <t>Additional Off Peak Users 2045</t>
  </si>
  <si>
    <t>2045 Volume-to-Capacity Ratio</t>
  </si>
  <si>
    <t>Level of Service</t>
  </si>
  <si>
    <t>F</t>
  </si>
  <si>
    <t>Commercial Vol 2020</t>
  </si>
  <si>
    <t>Off Peak Vol</t>
  </si>
  <si>
    <t>Volume-to-Capacity Ratio 2020</t>
  </si>
  <si>
    <t>E/D</t>
  </si>
  <si>
    <r>
      <t>BFF Travel Time (Minutes)</t>
    </r>
    <r>
      <rPr>
        <vertAlign val="superscript"/>
        <sz val="11"/>
        <color theme="1"/>
        <rFont val="Calibri"/>
        <family val="2"/>
        <scheme val="minor"/>
      </rPr>
      <t>2</t>
    </r>
  </si>
  <si>
    <r>
      <t>BFF Travel Speed (MPH)</t>
    </r>
    <r>
      <rPr>
        <vertAlign val="superscript"/>
        <sz val="11"/>
        <color theme="1"/>
        <rFont val="Calibri"/>
        <family val="2"/>
        <scheme val="minor"/>
      </rPr>
      <t>2</t>
    </r>
  </si>
  <si>
    <t>Avg Travel Time Off Peak 2045 No Build</t>
  </si>
  <si>
    <t>Off Peak Savings</t>
  </si>
  <si>
    <t>Peak Savings</t>
  </si>
  <si>
    <t>Roadway Capacity</t>
  </si>
  <si>
    <t>Posted Speed Limit (mph)</t>
  </si>
  <si>
    <t>AVG Travel Time Peak 2045 No Build</t>
  </si>
  <si>
    <t>AVG Travel Time Peak 2045 Project Scenario</t>
  </si>
  <si>
    <t>Avg Travel Time Off Peak Project Scenario</t>
  </si>
  <si>
    <t>28.12 mph*</t>
  </si>
  <si>
    <t>32.07**</t>
  </si>
  <si>
    <t>LOS Speed Peak</t>
  </si>
  <si>
    <t>LOS Speed Off Peak</t>
  </si>
  <si>
    <t>Additional Users 2045 Project Scenario</t>
  </si>
  <si>
    <t>2022 AADT (Est.)</t>
  </si>
  <si>
    <t>Peak Hr Vol (PM)</t>
  </si>
  <si>
    <t>Peak  Hr Vol (AM)</t>
  </si>
  <si>
    <t xml:space="preserve">Commercial Vol </t>
  </si>
  <si>
    <t>Volume-to-Capcity</t>
  </si>
  <si>
    <t>Project Route Length</t>
  </si>
  <si>
    <t>Avg Travel Time Peak No Build (Minutes)</t>
  </si>
  <si>
    <t>Avg Travel Time Peak Project Scenario (Minutes)</t>
  </si>
  <si>
    <t>Avg Travel Time Off Peak No Build (Minutes)</t>
  </si>
  <si>
    <t>LOS Speed Peak (mph)</t>
  </si>
  <si>
    <t>LOS Speed Off Peak (mph)</t>
  </si>
  <si>
    <t>BFF Travel Time (Minutes)</t>
  </si>
  <si>
    <t>BFF Travel Speed (MPH)</t>
  </si>
  <si>
    <t>$ Per Person Hour</t>
  </si>
  <si>
    <t>Avg. Occupancy</t>
  </si>
  <si>
    <t>Truck Driver</t>
  </si>
  <si>
    <t>Bus Driver</t>
  </si>
  <si>
    <t>Collision Models for Multilane Highway Segments to Examine the Safety of Curbs</t>
  </si>
  <si>
    <t>Suburban</t>
  </si>
  <si>
    <t>Suburban four-lane facilities without curb on the outside (right) shoulder. All roads have either two-way left-turn lanes or non-traversable medians.</t>
  </si>
  <si>
    <t>Rte MM &amp; FR 160</t>
  </si>
  <si>
    <t xml:space="preserve">FR 103/Commercial &amp; US60 </t>
  </si>
  <si>
    <t>Rte MM &amp; US60</t>
  </si>
  <si>
    <t>Additional Users 2045 PM Peak</t>
  </si>
  <si>
    <t>First Yr Benefit</t>
  </si>
  <si>
    <t>D/C</t>
  </si>
  <si>
    <t>2045 AADT Project-Build</t>
  </si>
  <si>
    <t>Weighted Sum</t>
  </si>
  <si>
    <t>Light-Duty Gasoline Vehicles</t>
  </si>
  <si>
    <t>Heavy-Duty Trucks</t>
  </si>
  <si>
    <t>NOx</t>
  </si>
  <si>
    <t>PM2.5</t>
  </si>
  <si>
    <t>No-Build</t>
  </si>
  <si>
    <t>Project-Build</t>
  </si>
  <si>
    <t>Passenger Cars Savings</t>
  </si>
  <si>
    <t>Truck Savings</t>
  </si>
  <si>
    <t>Analysis Network 2020 Commercial Pct</t>
  </si>
  <si>
    <t>Average Idle Emission Rates (g/hr)</t>
  </si>
  <si>
    <t>Light Duty Gasoline Fueled Vehicles</t>
  </si>
  <si>
    <t>Volatile Organic Compounds (VOC)</t>
  </si>
  <si>
    <t>Nitrogen Oxide (NOx)</t>
  </si>
  <si>
    <t>Particulate Matter (PM2.5)</t>
  </si>
  <si>
    <t>N/A</t>
  </si>
  <si>
    <t>Sulfur Dioxide (SO2)</t>
  </si>
  <si>
    <t>Heavy Duty Diesel Vehicle</t>
  </si>
  <si>
    <t>Unit Conversions</t>
  </si>
  <si>
    <t>Grams per US Ton (Short Ton)</t>
  </si>
  <si>
    <t>Metric Ton to US Ton (Short Ton</t>
  </si>
  <si>
    <t>Damage Costs</t>
  </si>
  <si>
    <t>(Nox) Calendar Yr</t>
  </si>
  <si>
    <t>Vehicle Hrs of Delay 2045 Annual</t>
  </si>
  <si>
    <t>(PM2.5) Calendar Yr</t>
  </si>
  <si>
    <t>Savings Discount (7%)</t>
  </si>
  <si>
    <t>Segment Miles</t>
  </si>
  <si>
    <t>Lane miles</t>
  </si>
  <si>
    <t>Hwy MM-MO360-US60</t>
  </si>
  <si>
    <t>Patching</t>
  </si>
  <si>
    <t>Mowing</t>
  </si>
  <si>
    <t>Material</t>
  </si>
  <si>
    <t>Snow Removal</t>
  </si>
  <si>
    <t>Signal</t>
  </si>
  <si>
    <t>Pavement</t>
  </si>
  <si>
    <t>Signing</t>
  </si>
  <si>
    <t>Baseline per Lane Mile Costs per Year</t>
  </si>
  <si>
    <t>FID</t>
  </si>
  <si>
    <t>NO</t>
  </si>
  <si>
    <t>FROMNODENO</t>
  </si>
  <si>
    <t>TONODENO</t>
  </si>
  <si>
    <t>NAME</t>
  </si>
  <si>
    <t>LENGTH</t>
  </si>
  <si>
    <t>V0PRT</t>
  </si>
  <si>
    <t>T0_PRTSY~1</t>
  </si>
  <si>
    <t>TCUR_PRT~2</t>
  </si>
  <si>
    <t>EC_Delay</t>
  </si>
  <si>
    <t>PCE_VOLU~4</t>
  </si>
  <si>
    <t>VOLUME_ADT</t>
  </si>
  <si>
    <t>DAILYREP~5</t>
  </si>
  <si>
    <t>DAILYREP~6</t>
  </si>
  <si>
    <t xml:space="preserve"> </t>
  </si>
  <si>
    <t>0.190mi</t>
  </si>
  <si>
    <t>35mph</t>
  </si>
  <si>
    <t>0.193mi</t>
  </si>
  <si>
    <t>0.174mi</t>
  </si>
  <si>
    <t>0.227mi</t>
  </si>
  <si>
    <t>MO-MM</t>
  </si>
  <si>
    <t>0.101mi</t>
  </si>
  <si>
    <t>45mph</t>
  </si>
  <si>
    <t>I-44 W</t>
  </si>
  <si>
    <t>0.054mi</t>
  </si>
  <si>
    <t>70mph</t>
  </si>
  <si>
    <t>I-44 E</t>
  </si>
  <si>
    <t>0.039mi</t>
  </si>
  <si>
    <t>0.033mi</t>
  </si>
  <si>
    <t>James River Fwy W</t>
  </si>
  <si>
    <t>1.173mi</t>
  </si>
  <si>
    <t>W Sunshine St</t>
  </si>
  <si>
    <t>0.059mi</t>
  </si>
  <si>
    <t>60mph</t>
  </si>
  <si>
    <t>0.062mi</t>
  </si>
  <si>
    <t>0.317mi</t>
  </si>
  <si>
    <t>55mph</t>
  </si>
  <si>
    <t>0.028mi</t>
  </si>
  <si>
    <t>40mph</t>
  </si>
  <si>
    <t>0.024mi</t>
  </si>
  <si>
    <t>0.012mi</t>
  </si>
  <si>
    <t>US-60</t>
  </si>
  <si>
    <t>0.143mi</t>
  </si>
  <si>
    <t>15mph</t>
  </si>
  <si>
    <t>0.023mi</t>
  </si>
  <si>
    <t>25mph</t>
  </si>
  <si>
    <t>0.027mi</t>
  </si>
  <si>
    <t>0.032mi</t>
  </si>
  <si>
    <t>MO-M</t>
  </si>
  <si>
    <t>0.022mi</t>
  </si>
  <si>
    <t>0.035mi</t>
  </si>
  <si>
    <t>W Farm Road 170</t>
  </si>
  <si>
    <t>0.011mi</t>
  </si>
  <si>
    <t>0.018mi</t>
  </si>
  <si>
    <t>0.069mi</t>
  </si>
  <si>
    <t>0.268mi</t>
  </si>
  <si>
    <t>0.322mi</t>
  </si>
  <si>
    <t>0.148mi</t>
  </si>
  <si>
    <t>0.014mi</t>
  </si>
  <si>
    <t>0.304mi</t>
  </si>
  <si>
    <t>0.013mi</t>
  </si>
  <si>
    <t>0.128mi</t>
  </si>
  <si>
    <t>0.020mi</t>
  </si>
  <si>
    <t>0.301mi</t>
  </si>
  <si>
    <t>0.318mi</t>
  </si>
  <si>
    <t>0.300mi</t>
  </si>
  <si>
    <t>MO-174</t>
  </si>
  <si>
    <t>E Hines St</t>
  </si>
  <si>
    <t>0.009mi</t>
  </si>
  <si>
    <t>20mph</t>
  </si>
  <si>
    <t>0.112mi</t>
  </si>
  <si>
    <t>0.265mi</t>
  </si>
  <si>
    <t>0.144mi</t>
  </si>
  <si>
    <t>0.017mi</t>
  </si>
  <si>
    <t>E Elm St</t>
  </si>
  <si>
    <t>0.006mi</t>
  </si>
  <si>
    <t>30mph</t>
  </si>
  <si>
    <t>0.029mi</t>
  </si>
  <si>
    <t>0.021mi</t>
  </si>
  <si>
    <t>0.202mi</t>
  </si>
  <si>
    <t>0.178mi</t>
  </si>
  <si>
    <t>N Oakwood Ave</t>
  </si>
  <si>
    <t>0.249mi</t>
  </si>
  <si>
    <t>0.239mi</t>
  </si>
  <si>
    <t>0.219mi</t>
  </si>
  <si>
    <t>0.204mi</t>
  </si>
  <si>
    <t>0.016mi</t>
  </si>
  <si>
    <t>N Main Ave</t>
  </si>
  <si>
    <t>0.049mi</t>
  </si>
  <si>
    <t>S Main Ave</t>
  </si>
  <si>
    <t>0.005mi</t>
  </si>
  <si>
    <t>0.140mi</t>
  </si>
  <si>
    <t>James River Fwy E</t>
  </si>
  <si>
    <t>1.170mi</t>
  </si>
  <si>
    <t>0.603mi</t>
  </si>
  <si>
    <t>0.189mi</t>
  </si>
  <si>
    <t>0.056mi</t>
  </si>
  <si>
    <t>0.553mi</t>
  </si>
  <si>
    <t>MO-B</t>
  </si>
  <si>
    <t>0.079mi</t>
  </si>
  <si>
    <t>0.376mi</t>
  </si>
  <si>
    <t>0.319mi</t>
  </si>
  <si>
    <t>0.316mi</t>
  </si>
  <si>
    <t>0.211mi</t>
  </si>
  <si>
    <t>0.359mi</t>
  </si>
  <si>
    <t>0.481mi</t>
  </si>
  <si>
    <t>0.416mi</t>
  </si>
  <si>
    <t>0.395mi</t>
  </si>
  <si>
    <t>0.138mi</t>
  </si>
  <si>
    <t>0.594mi</t>
  </si>
  <si>
    <t>0.156mi</t>
  </si>
  <si>
    <t>0.396mi</t>
  </si>
  <si>
    <t>0.671mi</t>
  </si>
  <si>
    <t>0.631mi</t>
  </si>
  <si>
    <t>1.010mi</t>
  </si>
  <si>
    <t>1.219mi</t>
  </si>
  <si>
    <t>0.511mi</t>
  </si>
  <si>
    <t>0.098mi</t>
  </si>
  <si>
    <t>0.332mi</t>
  </si>
  <si>
    <t>0.278mi</t>
  </si>
  <si>
    <t>0.421mi</t>
  </si>
  <si>
    <t>1.222mi</t>
  </si>
  <si>
    <t>0.525mi</t>
  </si>
  <si>
    <t>1.545mi</t>
  </si>
  <si>
    <t>0.605mi</t>
  </si>
  <si>
    <t>0.638mi</t>
  </si>
  <si>
    <t>MO-T</t>
  </si>
  <si>
    <t>0.077mi</t>
  </si>
  <si>
    <t>W Farm Road 156</t>
  </si>
  <si>
    <t>1.012mi</t>
  </si>
  <si>
    <t>0.601mi</t>
  </si>
  <si>
    <t>0.173mi</t>
  </si>
  <si>
    <t>0.867mi</t>
  </si>
  <si>
    <t>0.533mi</t>
  </si>
  <si>
    <t>0.611mi</t>
  </si>
  <si>
    <t>0.100mi</t>
  </si>
  <si>
    <t>0.449mi</t>
  </si>
  <si>
    <t>1.323mi</t>
  </si>
  <si>
    <t>0.735mi</t>
  </si>
  <si>
    <t>1.035mi</t>
  </si>
  <si>
    <t>0.302mi</t>
  </si>
  <si>
    <t>0.377mi</t>
  </si>
  <si>
    <t>0.685mi</t>
  </si>
  <si>
    <t>0.241mi</t>
  </si>
  <si>
    <t>0.132mi</t>
  </si>
  <si>
    <t>0.905mi</t>
  </si>
  <si>
    <t>0.289mi</t>
  </si>
  <si>
    <t>State Hwy N</t>
  </si>
  <si>
    <t>2.808mi</t>
  </si>
  <si>
    <t>1.462mi</t>
  </si>
  <si>
    <t>0.624mi</t>
  </si>
  <si>
    <t>0.613mi</t>
  </si>
  <si>
    <t>1.524mi</t>
  </si>
  <si>
    <t>0.630mi</t>
  </si>
  <si>
    <t>0.443mi</t>
  </si>
  <si>
    <t>1.144mi</t>
  </si>
  <si>
    <t>0.210mi</t>
  </si>
  <si>
    <t>0.549mi</t>
  </si>
  <si>
    <t>0.558mi</t>
  </si>
  <si>
    <t>0.415mi</t>
  </si>
  <si>
    <t>1.076mi</t>
  </si>
  <si>
    <t>0.108mi</t>
  </si>
  <si>
    <t>S Farm Rd 93</t>
  </si>
  <si>
    <t>0.502mi</t>
  </si>
  <si>
    <t>1.514mi</t>
  </si>
  <si>
    <t>1.213mi</t>
  </si>
  <si>
    <t>0.196mi</t>
  </si>
  <si>
    <t>0.044mi</t>
  </si>
  <si>
    <t>0.026mi</t>
  </si>
  <si>
    <t>0.436mi</t>
  </si>
  <si>
    <t>1.259mi</t>
  </si>
  <si>
    <t>0.246mi</t>
  </si>
  <si>
    <t>0.092mi</t>
  </si>
  <si>
    <t>0.425mi</t>
  </si>
  <si>
    <t>0.165mi</t>
  </si>
  <si>
    <t>0.015mi</t>
  </si>
  <si>
    <t>0.180mi</t>
  </si>
  <si>
    <t>0.232mi</t>
  </si>
  <si>
    <t>PB_Delay_sec</t>
  </si>
  <si>
    <t>0.412mi</t>
  </si>
  <si>
    <t>0.468mi</t>
  </si>
  <si>
    <t>0.876mi</t>
  </si>
  <si>
    <t>0.030mi</t>
  </si>
  <si>
    <t>Rt. MM</t>
  </si>
  <si>
    <t>Greene</t>
  </si>
  <si>
    <t>I-44 to 60</t>
  </si>
  <si>
    <t>3.84 miles</t>
  </si>
  <si>
    <t>Labor</t>
  </si>
  <si>
    <t>Equip.</t>
  </si>
  <si>
    <t>total</t>
  </si>
  <si>
    <t xml:space="preserve">Labor </t>
  </si>
  <si>
    <t xml:space="preserve">Signing </t>
  </si>
  <si>
    <t xml:space="preserve">Snow </t>
  </si>
  <si>
    <t xml:space="preserve">Grand </t>
  </si>
  <si>
    <t>per mile</t>
  </si>
  <si>
    <t>County</t>
  </si>
  <si>
    <t>Travelway</t>
  </si>
  <si>
    <t>Log</t>
  </si>
  <si>
    <t>Crash_Clas</t>
  </si>
  <si>
    <t>Date</t>
  </si>
  <si>
    <t>Severity_R</t>
  </si>
  <si>
    <t>Image_Num</t>
  </si>
  <si>
    <t>Intersecti</t>
  </si>
  <si>
    <t>Light_Cond</t>
  </si>
  <si>
    <t>Road_Surf_</t>
  </si>
  <si>
    <t>Weather_Co</t>
  </si>
  <si>
    <t>Travelway_</t>
  </si>
  <si>
    <t>Day_Of_Wee</t>
  </si>
  <si>
    <t>Time</t>
  </si>
  <si>
    <t>Prop_Dmg_I</t>
  </si>
  <si>
    <t>Transactio</t>
  </si>
  <si>
    <t>Object_Id</t>
  </si>
  <si>
    <t>Landed_Lat</t>
  </si>
  <si>
    <t>Landed_Lon</t>
  </si>
  <si>
    <t>TW_Ownersh</t>
  </si>
  <si>
    <t>No_of_Vehi</t>
  </si>
  <si>
    <t>Fixed_Obje</t>
  </si>
  <si>
    <t>Interchang</t>
  </si>
  <si>
    <t>Designatio</t>
  </si>
  <si>
    <t>Near_Stree</t>
  </si>
  <si>
    <t>GREENE</t>
  </si>
  <si>
    <t>US 60 W</t>
  </si>
  <si>
    <t>REAR END</t>
  </si>
  <si>
    <t>PROPERTY DAMAGE ONLY</t>
  </si>
  <si>
    <t>DAYLIGHT</t>
  </si>
  <si>
    <t>DRY</t>
  </si>
  <si>
    <t>CLEAR</t>
  </si>
  <si>
    <t>FRI</t>
  </si>
  <si>
    <t>US</t>
  </si>
  <si>
    <t>RIGHT ANGLE</t>
  </si>
  <si>
    <t>US 60 E</t>
  </si>
  <si>
    <t>LEFT TURN RIGHT ANGLE COLLISION</t>
  </si>
  <si>
    <t>DISABLING INJURY</t>
  </si>
  <si>
    <t>SAT</t>
  </si>
  <si>
    <t>MON</t>
  </si>
  <si>
    <t>OTHER</t>
  </si>
  <si>
    <t>RT MM S</t>
  </si>
  <si>
    <t>RT</t>
  </si>
  <si>
    <t>WED</t>
  </si>
  <si>
    <t>DARK W/ STREET LIGHTS ON</t>
  </si>
  <si>
    <t>WET</t>
  </si>
  <si>
    <t>CLOUDY</t>
  </si>
  <si>
    <t>TUE</t>
  </si>
  <si>
    <t>MINOR INJURY</t>
  </si>
  <si>
    <t>FIXED OBJECT</t>
  </si>
  <si>
    <t>DARK W/ STREET LIGHTS OFF</t>
  </si>
  <si>
    <t>MO 360 E</t>
  </si>
  <si>
    <t>MO</t>
  </si>
  <si>
    <t>OUT OF CONTROL</t>
  </si>
  <si>
    <t>RAIN</t>
  </si>
  <si>
    <t>SUN</t>
  </si>
  <si>
    <t>OTHER ~ DITCH</t>
  </si>
  <si>
    <t>CO RTMM TO US60W W</t>
  </si>
  <si>
    <t>CO</t>
  </si>
  <si>
    <t>THU</t>
  </si>
  <si>
    <t>PASSING</t>
  </si>
  <si>
    <t>MODOT</t>
  </si>
  <si>
    <t>EMBANKMENT / DRIVEWAY / GROUND / ROCK BLUFF ~ UTILITY POLE ~ CULVERT ~ CONCRETE TRAFFIC BARRIER ~ DITCH</t>
  </si>
  <si>
    <t>DITCH</t>
  </si>
  <si>
    <t>RIGHT TURN RIGHT ANGLE COLLISION</t>
  </si>
  <si>
    <t>LEFT TURN</t>
  </si>
  <si>
    <t>EMBANKMENT / DRIVEWAY / GROUND / ROCK BLUFF</t>
  </si>
  <si>
    <t>HIGHWAY TRAFFIC SIGN POST / SUPPORT</t>
  </si>
  <si>
    <t>RT M E</t>
  </si>
  <si>
    <t>CST KINGS ST E</t>
  </si>
  <si>
    <t>HEAD ON</t>
  </si>
  <si>
    <t>CITY</t>
  </si>
  <si>
    <t>CST</t>
  </si>
  <si>
    <t>STATE</t>
  </si>
  <si>
    <t>DEER</t>
  </si>
  <si>
    <t>HIGHWAY TRAFFIC SIGN POST / SUPPORT ~ HIGHWAY TRAFFIC SIGN POST / SUPPORT ~ HIGHWAY TRAFFIC SIGN POST / SUPPORT</t>
  </si>
  <si>
    <t>CST CARNAHAN ST E</t>
  </si>
  <si>
    <t>MO 360 W</t>
  </si>
  <si>
    <t>CHANGING LANE</t>
  </si>
  <si>
    <t>CO RTM TO US60E E</t>
  </si>
  <si>
    <t>RP MO360W TO RTMM N</t>
  </si>
  <si>
    <t>RP</t>
  </si>
  <si>
    <t>EMBANKMENT / DRIVEWAY / GROUND / ROCK BLUFF ~ WALL</t>
  </si>
  <si>
    <t>NOT IN INTERCHANGE</t>
  </si>
  <si>
    <t>RT MM</t>
  </si>
  <si>
    <t>US 60</t>
  </si>
  <si>
    <t>RT M</t>
  </si>
  <si>
    <t>SNOW</t>
  </si>
  <si>
    <t>FENCE</t>
  </si>
  <si>
    <t>CRD 148</t>
  </si>
  <si>
    <t>CRD 140</t>
  </si>
  <si>
    <t>DIAMOND</t>
  </si>
  <si>
    <t>ICE</t>
  </si>
  <si>
    <t>SLEET</t>
  </si>
  <si>
    <t>MO 360</t>
  </si>
  <si>
    <t>CRD 144</t>
  </si>
  <si>
    <t>CST E SAWYER RD E</t>
  </si>
  <si>
    <t>CST SAWYER RD</t>
  </si>
  <si>
    <t>PVT ALFALFA LN</t>
  </si>
  <si>
    <t>FENCE ~ DITCH</t>
  </si>
  <si>
    <t>PVT MORINING STAR LN</t>
  </si>
  <si>
    <t>CST KINGS ST</t>
  </si>
  <si>
    <t>CST E SAWYER RD</t>
  </si>
  <si>
    <t>UNKNOWN</t>
  </si>
  <si>
    <t>EMBANKMENT / DRIVEWAY / GROUND / ROCK BLUFF ~ MAILBOX ~ MAILBOX ~ DITCH</t>
  </si>
  <si>
    <t>CRD REPUBLIC RD</t>
  </si>
  <si>
    <t>CULVERT</t>
  </si>
  <si>
    <t>NOT STATED/UNKNOWN</t>
  </si>
  <si>
    <t>SIDESWIPE</t>
  </si>
  <si>
    <t>CST HAILE ST</t>
  </si>
  <si>
    <t>RP 279235</t>
  </si>
  <si>
    <t>FARM ANIMAL</t>
  </si>
  <si>
    <t>GUARDRAIL FACE</t>
  </si>
  <si>
    <t>CRD 160</t>
  </si>
  <si>
    <t>PVT MORNING STAR LN</t>
  </si>
  <si>
    <t>CO US60E TO RTM E</t>
  </si>
  <si>
    <t>CRD 140 E</t>
  </si>
  <si>
    <t>COUNTY</t>
  </si>
  <si>
    <t>OVERHEAD LINE / CABLE</t>
  </si>
  <si>
    <t>CRD</t>
  </si>
  <si>
    <t>CRD 168</t>
  </si>
  <si>
    <t>EMBANKMENT / DRIVEWAY / GROUND / ROCK BLUFF ~ CULVERT ~ HIGHWAY TRAFFIC SIGN POST / SUPPORT ~ DITCH</t>
  </si>
  <si>
    <t>RP 279234</t>
  </si>
  <si>
    <t>RP MO360E TO RTMM S</t>
  </si>
  <si>
    <t>CO RTM TO US60E</t>
  </si>
  <si>
    <t>RP RTMM TO MO360W W</t>
  </si>
  <si>
    <t>SUSPECTED SERIOUS INJURY</t>
  </si>
  <si>
    <t>RP 279233</t>
  </si>
  <si>
    <t>CST CARNAHAN ST</t>
  </si>
  <si>
    <t>MO 413</t>
  </si>
  <si>
    <t>CST N BROOKLINE AVE (SJ)</t>
  </si>
  <si>
    <t>CO RTMM TO US60W</t>
  </si>
  <si>
    <t>FOG/MIST</t>
  </si>
  <si>
    <t>CRD 156</t>
  </si>
  <si>
    <t>CO US60W TO RTMM N</t>
  </si>
  <si>
    <t>UTILITY POLE</t>
  </si>
  <si>
    <t>DEBRIS</t>
  </si>
  <si>
    <t>CST REPUBLIC ST</t>
  </si>
  <si>
    <t>BRIDGE PIER OR ABUTMENT / SUPPORT</t>
  </si>
  <si>
    <t>PARKING OR PARKED CAR</t>
  </si>
  <si>
    <t>CST N BROOKLINE AVE (NJ)</t>
  </si>
  <si>
    <t>RP 279232</t>
  </si>
  <si>
    <t>CO US60E TO RTM</t>
  </si>
  <si>
    <t>CRD REPUBLIC RD (NJ)</t>
  </si>
  <si>
    <t>CO US60W TO RTMM</t>
  </si>
  <si>
    <t>PEDESTRIAN</t>
  </si>
  <si>
    <t>FATAL</t>
  </si>
  <si>
    <t>FENCE ~ FENCE</t>
  </si>
  <si>
    <t>OTHER POST / POLE / SUPPORT</t>
  </si>
  <si>
    <t>CRD 168 E</t>
  </si>
  <si>
    <t>CULVERT ~ HIGHWAY TRAFFIC SIGN POST / SUPPORT ~ DITCH</t>
  </si>
  <si>
    <t>U - TURN</t>
  </si>
  <si>
    <t>AVOIDING</t>
  </si>
  <si>
    <t>EMBANKMENT / DRIVEWAY / GROUND / ROCK BLUFF ~ DITCH</t>
  </si>
  <si>
    <t>UTILITY POLE ~ HIGHWAY TRAFFIC SIGN POST / SUPPORT ~ OTHER</t>
  </si>
  <si>
    <t>RT M (NJ)</t>
  </si>
  <si>
    <t>CST HAILE ST E</t>
  </si>
  <si>
    <t>RIGHT TURN</t>
  </si>
  <si>
    <t>BRIDGE A5907</t>
  </si>
  <si>
    <t>Base Free Flow Speed = 95% of the posted speed limit of 45 mph.</t>
  </si>
  <si>
    <t>USDOT Benefit-Cost Analysis Guidance for Discretionary Grant Programs</t>
  </si>
  <si>
    <t>RTE MM - US 60/MO 360</t>
  </si>
  <si>
    <t>PCE</t>
  </si>
  <si>
    <t>ADT</t>
  </si>
  <si>
    <t>Build Scenario</t>
  </si>
  <si>
    <t>Weighted</t>
  </si>
  <si>
    <t>Build Scenario 2045 AADT</t>
  </si>
  <si>
    <t>Sum</t>
  </si>
  <si>
    <t>Base Condition 2045 AADT</t>
  </si>
  <si>
    <t>Benefit-Cost Analysis Summary</t>
  </si>
  <si>
    <t>Benefits</t>
  </si>
  <si>
    <t>Travel Time Savings</t>
  </si>
  <si>
    <t>Emissions Reduction</t>
  </si>
  <si>
    <t>Other Benefits - Pedestrian &amp; Cycling Facilities</t>
  </si>
  <si>
    <t>Total Benefits</t>
  </si>
  <si>
    <t>Total Project Costs</t>
  </si>
  <si>
    <t>BCA Ratio</t>
  </si>
  <si>
    <t>Undiscounted</t>
  </si>
  <si>
    <t>Other Benefits - At-Grade Rail Seperation</t>
  </si>
  <si>
    <t xml:space="preserve">NPV 7% Discount Rate </t>
  </si>
  <si>
    <t>Year</t>
  </si>
  <si>
    <t>At-Grade Crossing Maintence BNSF</t>
  </si>
  <si>
    <t>At-Grade Crossing Maintenance MoDOT</t>
  </si>
  <si>
    <t>Total Operations and Maintenance Savings</t>
  </si>
  <si>
    <t>2024 (Construction)</t>
  </si>
  <si>
    <t>2025 (Construction)</t>
  </si>
  <si>
    <t>2026 (Construction)</t>
  </si>
  <si>
    <t>Total Value</t>
  </si>
  <si>
    <t>Net Present Value (7% Discount)</t>
  </si>
  <si>
    <t>Benefit-Cost Analysis Guidance for Discretionary Grant Programs, March 2022</t>
  </si>
  <si>
    <t>20 (Years)</t>
  </si>
  <si>
    <t>OTO Travel Demand Model 2045, Highway MM/ZZ Corridor Study</t>
  </si>
  <si>
    <t>Walkers</t>
  </si>
  <si>
    <t>2022 Base</t>
  </si>
  <si>
    <t>Trail</t>
  </si>
  <si>
    <t>Pedestrian Improvement US 60 to Farm Road 160</t>
  </si>
  <si>
    <t>Pedestrian Improvement US 360 to I-44</t>
  </si>
  <si>
    <t>Total Present Value</t>
  </si>
  <si>
    <t>Net Present 7%</t>
  </si>
  <si>
    <t xml:space="preserve">Trail </t>
  </si>
  <si>
    <t xml:space="preserve">Trail width </t>
  </si>
  <si>
    <t xml:space="preserve">2024 (Construction </t>
  </si>
  <si>
    <t>Length of Improvements</t>
  </si>
  <si>
    <t>US 60 to Farm Road 160</t>
  </si>
  <si>
    <t>Sidewalk Width right side</t>
  </si>
  <si>
    <t>Sidewalk Width left side</t>
  </si>
  <si>
    <t xml:space="preserve">Farm Road 160 - US 360 </t>
  </si>
  <si>
    <t>Sidewalk right side</t>
  </si>
  <si>
    <t>US 360 to I-44</t>
  </si>
  <si>
    <t xml:space="preserve">Walkers </t>
  </si>
  <si>
    <t>Present Value</t>
  </si>
  <si>
    <t>Crash Probability</t>
  </si>
  <si>
    <t>Fatal Accident Probability</t>
  </si>
  <si>
    <t>Injury Accident Probability</t>
  </si>
  <si>
    <t>Property Damage Probability</t>
  </si>
  <si>
    <t>Net Present Value 7% Discount</t>
  </si>
  <si>
    <t>Benefit-Cost Aanlysis Guidance for Discretionary Grant Programs March 2022 Update</t>
  </si>
  <si>
    <t>(2020 $)</t>
  </si>
  <si>
    <t>Injury Crash</t>
  </si>
  <si>
    <t>Fatal Crash</t>
  </si>
  <si>
    <t>Property Damage Only</t>
  </si>
  <si>
    <t>Serious Injury</t>
  </si>
  <si>
    <t>Crash Stats 2016 - 2022</t>
  </si>
  <si>
    <t>Fatalities Total</t>
  </si>
  <si>
    <t xml:space="preserve">Disabling Injury Total </t>
  </si>
  <si>
    <t>Minor Injury Total</t>
  </si>
  <si>
    <t>Property Damage Only Total</t>
  </si>
  <si>
    <t>Fatality Annual Avg</t>
  </si>
  <si>
    <t>Disabling Injury Annual Avg</t>
  </si>
  <si>
    <t>Minor Injury Annual Avg</t>
  </si>
  <si>
    <t>PDO Annual Avg</t>
  </si>
  <si>
    <t>MoDOT 2018 - 2022 Crash Costs*</t>
  </si>
  <si>
    <t xml:space="preserve">Value of Reduced Travel Time Savings </t>
  </si>
  <si>
    <t>Assumes 3% inflation and 10 year resurfacing and lane miles removed due to realignment from Farm Rd 160 to US 60.</t>
  </si>
  <si>
    <t>10'</t>
  </si>
  <si>
    <t>4567.2'</t>
  </si>
  <si>
    <t>5'</t>
  </si>
  <si>
    <t>7810.44'</t>
  </si>
  <si>
    <t>7408.86'</t>
  </si>
  <si>
    <t>Net Present Value 7%</t>
  </si>
  <si>
    <t>*Project Build Scenerio of the new overpass is captured in the Corridor Operations and Maintenance</t>
  </si>
  <si>
    <t>At-Grade Railroad Crossing Safety</t>
  </si>
  <si>
    <t xml:space="preserve">Discount Rate </t>
  </si>
  <si>
    <t>Operating Period</t>
  </si>
  <si>
    <t xml:space="preserve">Operating Year </t>
  </si>
  <si>
    <t>AADT Growth SS MM Crossing</t>
  </si>
  <si>
    <t xml:space="preserve">AADT Growth Haile and Orr St. </t>
  </si>
  <si>
    <t>Safety Formula</t>
  </si>
  <si>
    <t xml:space="preserve">Average Crash Probability Rate </t>
  </si>
  <si>
    <t xml:space="preserve">Present Value </t>
  </si>
  <si>
    <t>*Assumes 5.4% Growth AADT per the Travel Demand Model</t>
  </si>
  <si>
    <t>*Assumes 2% AADT Growth</t>
  </si>
  <si>
    <t>Value of Reduction in Crashes, Injuries, and Fatalities</t>
  </si>
  <si>
    <t>Value of Reduction  in Fatalites, Injuries, Property Damage</t>
  </si>
  <si>
    <t>Pedestrian Improvement Farm Road 160 to US 360</t>
  </si>
  <si>
    <t>Project Costs</t>
  </si>
  <si>
    <t>Construction</t>
  </si>
  <si>
    <t>Discounted Project Costs</t>
  </si>
  <si>
    <t>Highway MM Corridor 1-44 to US 60</t>
  </si>
  <si>
    <t>2022 Present Worth (7% Discount)</t>
  </si>
  <si>
    <t xml:space="preserve">Operations and Maintenance </t>
  </si>
  <si>
    <t>Construction and O&amp;M Costs - Highway MM Corridor to Opportunity</t>
  </si>
  <si>
    <t>Sidewalk - US 60 to Farm Road 160</t>
  </si>
  <si>
    <t>Sidewalk - Farm Road 160 - US 360</t>
  </si>
  <si>
    <t>Sidewalk - US 360 to I-44</t>
  </si>
  <si>
    <t xml:space="preserve">Induced Walking Trips </t>
  </si>
  <si>
    <t>Benefit</t>
  </si>
  <si>
    <t>Estimate Jobs Per Year</t>
  </si>
  <si>
    <t>Average Wage of Job</t>
  </si>
  <si>
    <t>Total Annual Wage Growth</t>
  </si>
  <si>
    <t>Full Time Hour</t>
  </si>
  <si>
    <t>Daily Delay (min)</t>
  </si>
  <si>
    <t>Daily Vehicles</t>
  </si>
  <si>
    <t>Daily Vehicle Hours of Delay</t>
  </si>
  <si>
    <t xml:space="preserve">Savings in Vehicle Hrs </t>
  </si>
  <si>
    <t>Project-Build Savings</t>
  </si>
  <si>
    <t>2045 Total</t>
  </si>
  <si>
    <t xml:space="preserve">Project-Build 2045  </t>
  </si>
  <si>
    <t>No Build 2045</t>
  </si>
  <si>
    <t>Missouri Department of Transportation (MoDOT) 2020 SS Pavement GIS Data.</t>
  </si>
  <si>
    <t>Roadway Capacity Analysis for Congestion Management System. CJW Consulting, July 31, 2017. (Prepared for the Ozarks Transportation Organization MPO)</t>
  </si>
  <si>
    <r>
      <rPr>
        <sz val="11"/>
        <color theme="1"/>
        <rFont val="Calibri"/>
        <family val="2"/>
        <scheme val="minor"/>
      </rPr>
      <t>OTO Travel Demand Model – Base Year 2018, Destination 2045 Existing &amp; Constructed.The Ozarks Transportation Organization MPO. September, 2021</t>
    </r>
    <r>
      <rPr>
        <vertAlign val="superscript"/>
        <sz val="11"/>
        <color theme="1"/>
        <rFont val="Calibri"/>
        <family val="2"/>
        <scheme val="minor"/>
      </rPr>
      <t>.</t>
    </r>
  </si>
  <si>
    <t>Benefit-Cost Analysis Guidance for Discretionary Grant Programs. US DOT March 2022.</t>
  </si>
  <si>
    <t>Avg Travel Time Off Peak Project Scenario (Minutes)</t>
  </si>
  <si>
    <t>Project Annual</t>
  </si>
  <si>
    <t>No-Build Annual</t>
  </si>
  <si>
    <t>*No-Build Peak 66% of Base Free Flow</t>
  </si>
  <si>
    <t>**Project-Build 75% of Base Free Flow</t>
  </si>
  <si>
    <t>No-Build Mile Cost</t>
  </si>
  <si>
    <t>Project-Build Mile Cost</t>
  </si>
  <si>
    <t>Other Benefits - Mortality Reduction Benefit</t>
  </si>
  <si>
    <t xml:space="preserve">City of Republic projects 2,000 jobs in the next 5 years.  Total of 3,000 in the next 10 along corridor.  </t>
  </si>
  <si>
    <t xml:space="preserve">*Based on past 10 years employment data along the corridor and the City of Republic's economic development map available for development if corridor capacity is expanded. </t>
  </si>
  <si>
    <t>Agglomeration Economics</t>
  </si>
  <si>
    <t>Area is all developable land.  Close to I-44, US 360, City of Springfield, Springfield-Branson National Airport.</t>
  </si>
  <si>
    <t xml:space="preserve">Corridor added 3,371 jobs in the last 10 years. There are several large retail developments currently in the planning and development stages projecting to add another 2,000 in the next 5-years (City of Republic BUILD Department).  The Corridor has a road capacity issue that is curtaining full development.  If the road is widened that removes the last obsticale to the fastest growing area in the region. </t>
  </si>
  <si>
    <t>SB = Number of Yearly Crashes*100%*(Number of Accidents in base case, Number of accidents in alternative case 0), * Cost per accident type</t>
  </si>
  <si>
    <t>(CO2) Calendar Yr</t>
  </si>
  <si>
    <t>VEHICLE TYPE</t>
  </si>
  <si>
    <t>FUEL TYPE</t>
  </si>
  <si>
    <t>ENGINE SIZE</t>
  </si>
  <si>
    <t>(LITER)</t>
  </si>
  <si>
    <t>GROSS VEHICLE WEIGHT</t>
  </si>
  <si>
    <t>(GVW) (LBS)</t>
  </si>
  <si>
    <t>IDLING FUEL USE</t>
  </si>
  <si>
    <t>(GAL/HR WITH NO LOAD)</t>
  </si>
  <si>
    <t>Compact Sedan</t>
  </si>
  <si>
    <t>Gas</t>
  </si>
  <si>
    <t>-</t>
  </si>
  <si>
    <t>Large Sedan</t>
  </si>
  <si>
    <t>Diesel</t>
  </si>
  <si>
    <t>Medium Heavy Truck</t>
  </si>
  <si>
    <t>19,700-26,000</t>
  </si>
  <si>
    <t>Delivery Truck</t>
  </si>
  <si>
    <t>Tow Truck</t>
  </si>
  <si>
    <t>23,000-33,000</t>
  </si>
  <si>
    <t>Transit Bus</t>
  </si>
  <si>
    <t>Combination Truck</t>
  </si>
  <si>
    <t>Bucket Truck</t>
  </si>
  <si>
    <t>Tractor-Semitrailer</t>
  </si>
  <si>
    <t>5 to 7</t>
  </si>
  <si>
    <t>6 to 10</t>
  </si>
  <si>
    <t>https://www.energy.gov/eere/vehicles/fact-861-february-23-2015-idle-fuel-consumption-selected-gasoline-and-diesel-vehicles</t>
  </si>
  <si>
    <t>Fact #861 February 23, 2015 Idle Fuel Consumption for Selected Gasoline and Diesel Vehicles</t>
  </si>
  <si>
    <t>Grams of CO2/gal (Gas)*</t>
  </si>
  <si>
    <t>https://www.epa.gov/energy/greenhouse-gases-equivalencies-calculator-calculations-and-references</t>
  </si>
  <si>
    <t>*Greenhouse Gases Equivalencies Calculator - Calculations and References</t>
  </si>
  <si>
    <t>Idle Gal/Hr</t>
  </si>
  <si>
    <t>Annual Fuel Savings (gallons)</t>
  </si>
  <si>
    <t>Passenger Cars (Gas)</t>
  </si>
  <si>
    <t>Air Pollutant Savings</t>
  </si>
  <si>
    <t xml:space="preserve">GHG Emission Savings </t>
  </si>
  <si>
    <t>Savings Discount (3%)</t>
  </si>
  <si>
    <t>Total Emissions Benefits</t>
  </si>
  <si>
    <t>CO2 Savings Metric Tons</t>
  </si>
  <si>
    <t>Trucks (Diesel)</t>
  </si>
  <si>
    <t>Grams of CO2/gal (Diesel)*</t>
  </si>
  <si>
    <t>RTE MM - MO360/US60</t>
  </si>
  <si>
    <t>Rte MM - US60 to I-44</t>
  </si>
  <si>
    <t>Rte MM -MO360 to I-44</t>
  </si>
  <si>
    <t>RTE MM - MO360/I-44</t>
  </si>
  <si>
    <t>RTE MM - I-44/MO360</t>
  </si>
  <si>
    <t>Hwy MM-I-44 to MO360</t>
  </si>
  <si>
    <t>Air Pollutants</t>
  </si>
  <si>
    <t>Green House Gases*</t>
  </si>
  <si>
    <t>*NPV 3% Discount Rate</t>
  </si>
  <si>
    <t>Segment</t>
  </si>
  <si>
    <t>Mortality Reduction Benefit Criteria</t>
  </si>
  <si>
    <t>Total Value of New Trips</t>
  </si>
  <si>
    <t xml:space="preserve">Total </t>
  </si>
  <si>
    <t>Data Input</t>
  </si>
  <si>
    <t>Data Value</t>
  </si>
  <si>
    <t>Reference</t>
  </si>
  <si>
    <t>GradeDec.Net Reference Manual  Federal Railroad Administration * Benefit-Cost Analysis Guidance for Discretionary Grant Programs, March 2022</t>
  </si>
  <si>
    <t>Mile</t>
  </si>
  <si>
    <t>RAILROAD SAFETY</t>
  </si>
  <si>
    <t xml:space="preserve">Total Two At-Grade Railroad Crossing Closures </t>
  </si>
  <si>
    <t xml:space="preserve">Total At-Grade Separation Benefits </t>
  </si>
  <si>
    <t>Total At-Grade Separation Benefits Net Present Value 7%</t>
  </si>
  <si>
    <t>RAILROAD OPERATIONS AND MAINTENANCE</t>
  </si>
  <si>
    <t>AGGLOMERATION ECONOMICS</t>
  </si>
  <si>
    <t>RTE MM -     I-44/MO360</t>
  </si>
  <si>
    <t>Safety Data</t>
  </si>
  <si>
    <t>Type of Injury</t>
  </si>
  <si>
    <t>Value</t>
  </si>
  <si>
    <t>Travel Time Type</t>
  </si>
  <si>
    <t>Vehicle Operating Costs for Highway Passenger Vehicles</t>
  </si>
  <si>
    <t>RTE MM -   I-44/MO360</t>
  </si>
  <si>
    <t>Total Savings</t>
  </si>
  <si>
    <t>Fuel Consumption</t>
  </si>
  <si>
    <t xml:space="preserve">EMMISSIONS </t>
  </si>
  <si>
    <t>OPERATIONS AND MAINTENANCE COSTS</t>
  </si>
  <si>
    <t xml:space="preserve">Year </t>
  </si>
  <si>
    <t>Increase AADT</t>
  </si>
  <si>
    <t>Rail Road At-Grade Crossing SS MM (Highway MM &amp; US 60)</t>
  </si>
  <si>
    <t>Rail Road At-Grade Crossing County Road 160 (Haile and Orr St.)</t>
  </si>
  <si>
    <t>RATE OF INCREASE PER CROSSING ANNUAL AADT Rate of Increase Per Crossing Annual AADT</t>
  </si>
  <si>
    <t>Value Pedestrian &amp; Cycling Facility Additions</t>
  </si>
  <si>
    <t xml:space="preserve"> Mortality Reduction Benefit</t>
  </si>
  <si>
    <t>Value of Safety Benefits for Highway MM At-Grade Crossing in Build Scenerio</t>
  </si>
  <si>
    <t>Value of Reduced Operations and Maintenance Expenses</t>
  </si>
  <si>
    <t>Value of Haile and Orr St. At-Grade Crosssing in Build Scenerio</t>
  </si>
  <si>
    <t>Value of Job Creation</t>
  </si>
  <si>
    <t>No-Build O&amp;M</t>
  </si>
  <si>
    <t>Build O&amp;M</t>
  </si>
  <si>
    <t>Operations and Maintenance Cost</t>
  </si>
  <si>
    <t>Net Difference Cost Present 7%</t>
  </si>
  <si>
    <t xml:space="preserve">Total Highway MM Costs </t>
  </si>
  <si>
    <t>Total Project Cost</t>
  </si>
  <si>
    <t>Total Costs</t>
  </si>
  <si>
    <t>Railroad Crossing Operations &amp; Maintenance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</si>
</sst>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"/>
    <numFmt numFmtId="166" formatCode="_(* #,##0_);_(* \(#,##0\);_(* &quot;-&quot;??_);_(@_)"/>
    <numFmt numFmtId="167" formatCode="_(&quot;$&quot;* #,##0_);_(&quot;$&quot;* \(#,##0\);_(&quot;$&quot;* &quot;-&quot;??_);_(@_)"/>
    <numFmt numFmtId="168" formatCode="&quot;$&quot;#,##0.00"/>
    <numFmt numFmtId="169" formatCode="_(&quot;$&quot;* #,##0.0_);_(&quot;$&quot;* \(#,##0.0\);_(&quot;$&quot;* &quot;-&quot;??_);_(@_)"/>
    <numFmt numFmtId="170" formatCode="0.0000"/>
    <numFmt numFmtId="171" formatCode="0.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Times New Roman"/>
      <family val="1"/>
    </font>
    <font>
      <sz val="10"/>
      <color rgb="FF000000"/>
      <name val="Franklin Gothic Book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u/>
      <sz val="11"/>
      <color theme="1"/>
      <name val="Times New Roman"/>
      <family val="1"/>
    </font>
    <font>
      <sz val="11"/>
      <color theme="1"/>
      <name val="Calibri"/>
      <family val="2"/>
      <charset val="1"/>
    </font>
    <font>
      <sz val="11"/>
      <color theme="1"/>
      <name val="Calibri"/>
      <family val="2"/>
    </font>
    <font>
      <sz val="11"/>
      <color theme="0"/>
      <name val="Times New Roman"/>
      <family val="1"/>
    </font>
    <font>
      <sz val="12"/>
      <color theme="1"/>
      <name val="Times New Roman"/>
      <family val="1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b/>
      <i/>
      <u/>
      <sz val="12"/>
      <color theme="1"/>
      <name val="Times New Roman"/>
      <family val="1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B475C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Franklin Gothic Book"/>
      <family val="2"/>
    </font>
    <font>
      <sz val="8"/>
      <color theme="1"/>
      <name val="Calibri"/>
      <family val="2"/>
      <scheme val="minor"/>
    </font>
    <font>
      <sz val="8"/>
      <color rgb="FF000000"/>
      <name val="Times New Roman"/>
      <family val="1"/>
    </font>
    <font>
      <b/>
      <sz val="11"/>
      <color theme="0"/>
      <name val="Times New Roman"/>
      <family val="1"/>
    </font>
    <font>
      <sz val="11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E6E6E6"/>
        <bgColor rgb="FFE6E6E6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2B475C"/>
        <bgColor indexed="64"/>
      </patternFill>
    </fill>
    <fill>
      <patternFill patternType="solid">
        <fgColor rgb="FF2B475C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D751C"/>
        <bgColor indexed="64"/>
      </patternFill>
    </fill>
    <fill>
      <patternFill patternType="solid">
        <fgColor theme="5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2" borderId="10">
      <alignment horizontal="left"/>
    </xf>
    <xf numFmtId="0" fontId="28" fillId="0" borderId="0" applyNumberFormat="0" applyFill="0" applyBorder="0" applyAlignment="0" applyProtection="0"/>
  </cellStyleXfs>
  <cellXfs count="424">
    <xf numFmtId="0" fontId="0" fillId="0" borderId="0" xfId="0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5" xfId="0" applyBorder="1"/>
    <xf numFmtId="0" fontId="0" fillId="0" borderId="0" xfId="0" applyAlignment="1">
      <alignment horizontal="left"/>
    </xf>
    <xf numFmtId="0" fontId="0" fillId="0" borderId="3" xfId="0" applyBorder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/>
    <xf numFmtId="0" fontId="1" fillId="0" borderId="0" xfId="0" applyFont="1" applyFill="1"/>
    <xf numFmtId="0" fontId="1" fillId="0" borderId="0" xfId="0" applyFont="1" applyAlignment="1">
      <alignment horizontal="center"/>
    </xf>
    <xf numFmtId="0" fontId="0" fillId="0" borderId="7" xfId="0" applyBorder="1"/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3" fillId="0" borderId="0" xfId="0" applyFont="1" applyFill="1" applyAlignment="1">
      <alignment vertical="center"/>
    </xf>
    <xf numFmtId="0" fontId="1" fillId="0" borderId="7" xfId="0" applyFont="1" applyBorder="1" applyAlignment="1">
      <alignment horizontal="left"/>
    </xf>
    <xf numFmtId="0" fontId="1" fillId="0" borderId="0" xfId="0" applyFont="1" applyAlignment="1">
      <alignment horizontal="left"/>
    </xf>
    <xf numFmtId="6" fontId="0" fillId="0" borderId="0" xfId="0" applyNumberFormat="1"/>
    <xf numFmtId="8" fontId="0" fillId="0" borderId="0" xfId="0" applyNumberFormat="1"/>
    <xf numFmtId="8" fontId="1" fillId="0" borderId="0" xfId="0" applyNumberFormat="1" applyFont="1"/>
    <xf numFmtId="0" fontId="0" fillId="0" borderId="0" xfId="0" applyFont="1"/>
    <xf numFmtId="1" fontId="0" fillId="0" borderId="0" xfId="0" applyNumberFormat="1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horizontal="right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7" xfId="0" applyFont="1" applyBorder="1" applyAlignment="1">
      <alignment horizontal="center"/>
    </xf>
    <xf numFmtId="0" fontId="4" fillId="0" borderId="0" xfId="1" applyAlignment="1">
      <alignment horizontal="left"/>
    </xf>
    <xf numFmtId="0" fontId="5" fillId="0" borderId="0" xfId="1" applyFont="1" applyAlignment="1"/>
    <xf numFmtId="0" fontId="5" fillId="0" borderId="0" xfId="1" applyFont="1"/>
    <xf numFmtId="166" fontId="0" fillId="0" borderId="0" xfId="0" applyNumberFormat="1"/>
    <xf numFmtId="0" fontId="0" fillId="0" borderId="0" xfId="2" applyNumberFormat="1" applyFont="1"/>
    <xf numFmtId="167" fontId="1" fillId="0" borderId="1" xfId="3" applyNumberFormat="1" applyFont="1" applyBorder="1"/>
    <xf numFmtId="0" fontId="7" fillId="2" borderId="10" xfId="4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8" fontId="0" fillId="0" borderId="2" xfId="0" applyNumberFormat="1" applyBorder="1"/>
    <xf numFmtId="49" fontId="8" fillId="3" borderId="15" xfId="0" applyNumberFormat="1" applyFont="1" applyFill="1" applyBorder="1" applyAlignment="1">
      <alignment horizontal="left" vertical="center" wrapText="1" shrinkToFit="1" readingOrder="1"/>
    </xf>
    <xf numFmtId="49" fontId="9" fillId="3" borderId="16" xfId="0" applyNumberFormat="1" applyFont="1" applyFill="1" applyBorder="1" applyAlignment="1">
      <alignment horizontal="left" vertical="center" wrapText="1" shrinkToFit="1" readingOrder="1"/>
    </xf>
    <xf numFmtId="4" fontId="9" fillId="3" borderId="16" xfId="0" applyNumberFormat="1" applyFont="1" applyFill="1" applyBorder="1" applyAlignment="1">
      <alignment horizontal="right" vertical="center" wrapText="1" shrinkToFit="1" readingOrder="1"/>
    </xf>
    <xf numFmtId="8" fontId="0" fillId="4" borderId="2" xfId="0" applyNumberFormat="1" applyFill="1" applyBorder="1"/>
    <xf numFmtId="0" fontId="0" fillId="0" borderId="6" xfId="0" applyBorder="1"/>
    <xf numFmtId="0" fontId="0" fillId="0" borderId="3" xfId="0" applyBorder="1"/>
    <xf numFmtId="0" fontId="0" fillId="5" borderId="7" xfId="0" applyFill="1" applyBorder="1"/>
    <xf numFmtId="0" fontId="1" fillId="5" borderId="7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7" borderId="7" xfId="0" applyFill="1" applyBorder="1"/>
    <xf numFmtId="1" fontId="1" fillId="0" borderId="7" xfId="0" applyNumberFormat="1" applyFont="1" applyBorder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 wrapText="1"/>
    </xf>
    <xf numFmtId="44" fontId="11" fillId="0" borderId="0" xfId="0" applyNumberFormat="1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170" fontId="0" fillId="0" borderId="0" xfId="0" applyNumberFormat="1"/>
    <xf numFmtId="0" fontId="18" fillId="0" borderId="0" xfId="0" applyFont="1"/>
    <xf numFmtId="42" fontId="20" fillId="0" borderId="0" xfId="0" applyNumberFormat="1" applyFont="1"/>
    <xf numFmtId="0" fontId="20" fillId="0" borderId="0" xfId="0" applyFont="1"/>
    <xf numFmtId="0" fontId="21" fillId="0" borderId="0" xfId="0" applyFont="1"/>
    <xf numFmtId="0" fontId="18" fillId="0" borderId="2" xfId="0" applyFont="1" applyBorder="1"/>
    <xf numFmtId="0" fontId="20" fillId="0" borderId="0" xfId="0" applyFont="1" applyFill="1" applyBorder="1"/>
    <xf numFmtId="42" fontId="20" fillId="0" borderId="0" xfId="0" applyNumberFormat="1" applyFont="1" applyBorder="1"/>
    <xf numFmtId="0" fontId="20" fillId="0" borderId="0" xfId="0" applyFont="1" applyBorder="1"/>
    <xf numFmtId="0" fontId="19" fillId="9" borderId="24" xfId="0" applyFont="1" applyFill="1" applyBorder="1"/>
    <xf numFmtId="168" fontId="18" fillId="8" borderId="25" xfId="0" applyNumberFormat="1" applyFont="1" applyFill="1" applyBorder="1"/>
    <xf numFmtId="8" fontId="19" fillId="9" borderId="0" xfId="0" applyNumberFormat="1" applyFont="1" applyFill="1" applyBorder="1"/>
    <xf numFmtId="42" fontId="20" fillId="0" borderId="20" xfId="0" applyNumberFormat="1" applyFont="1" applyBorder="1"/>
    <xf numFmtId="42" fontId="18" fillId="0" borderId="2" xfId="0" applyNumberFormat="1" applyFont="1" applyBorder="1"/>
    <xf numFmtId="42" fontId="18" fillId="0" borderId="20" xfId="0" applyNumberFormat="1" applyFont="1" applyBorder="1"/>
    <xf numFmtId="0" fontId="20" fillId="0" borderId="26" xfId="0" applyFont="1" applyBorder="1" applyAlignment="1">
      <alignment horizontal="center"/>
    </xf>
    <xf numFmtId="0" fontId="20" fillId="0" borderId="18" xfId="0" applyFont="1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164" fontId="23" fillId="8" borderId="4" xfId="0" applyNumberFormat="1" applyFont="1" applyFill="1" applyBorder="1"/>
    <xf numFmtId="0" fontId="20" fillId="0" borderId="17" xfId="0" applyFont="1" applyBorder="1" applyAlignment="1">
      <alignment horizontal="center"/>
    </xf>
    <xf numFmtId="170" fontId="20" fillId="0" borderId="0" xfId="0" applyNumberFormat="1" applyFont="1"/>
    <xf numFmtId="44" fontId="18" fillId="0" borderId="5" xfId="0" applyNumberFormat="1" applyFont="1" applyBorder="1"/>
    <xf numFmtId="42" fontId="18" fillId="0" borderId="0" xfId="0" applyNumberFormat="1" applyFont="1"/>
    <xf numFmtId="0" fontId="20" fillId="0" borderId="3" xfId="0" applyFont="1" applyBorder="1"/>
    <xf numFmtId="170" fontId="20" fillId="0" borderId="3" xfId="0" applyNumberFormat="1" applyFont="1" applyBorder="1"/>
    <xf numFmtId="42" fontId="18" fillId="0" borderId="3" xfId="0" applyNumberFormat="1" applyFont="1" applyBorder="1"/>
    <xf numFmtId="44" fontId="18" fillId="0" borderId="29" xfId="0" applyNumberFormat="1" applyFont="1" applyBorder="1"/>
    <xf numFmtId="0" fontId="19" fillId="9" borderId="10" xfId="0" applyFont="1" applyFill="1" applyBorder="1"/>
    <xf numFmtId="0" fontId="20" fillId="0" borderId="0" xfId="0" applyFont="1" applyBorder="1" applyAlignment="1">
      <alignment horizontal="center" wrapText="1"/>
    </xf>
    <xf numFmtId="44" fontId="18" fillId="0" borderId="0" xfId="0" applyNumberFormat="1" applyFont="1" applyBorder="1"/>
    <xf numFmtId="0" fontId="0" fillId="0" borderId="0" xfId="0" applyBorder="1"/>
    <xf numFmtId="0" fontId="10" fillId="0" borderId="0" xfId="0" applyFont="1" applyBorder="1" applyAlignment="1">
      <alignment horizontal="center" wrapText="1"/>
    </xf>
    <xf numFmtId="168" fontId="0" fillId="0" borderId="0" xfId="0" applyNumberFormat="1" applyBorder="1"/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/>
    </xf>
    <xf numFmtId="44" fontId="18" fillId="0" borderId="0" xfId="0" applyNumberFormat="1" applyFont="1" applyFill="1" applyBorder="1"/>
    <xf numFmtId="44" fontId="24" fillId="0" borderId="0" xfId="0" applyNumberFormat="1" applyFont="1" applyFill="1" applyBorder="1"/>
    <xf numFmtId="0" fontId="18" fillId="0" borderId="0" xfId="0" applyFont="1" applyFill="1" applyBorder="1"/>
    <xf numFmtId="0" fontId="20" fillId="0" borderId="34" xfId="0" applyFont="1" applyBorder="1" applyAlignment="1">
      <alignment horizontal="center"/>
    </xf>
    <xf numFmtId="0" fontId="20" fillId="0" borderId="7" xfId="0" applyFont="1" applyBorder="1" applyAlignment="1">
      <alignment horizontal="center" wrapText="1"/>
    </xf>
    <xf numFmtId="0" fontId="20" fillId="0" borderId="9" xfId="0" applyFont="1" applyBorder="1" applyAlignment="1">
      <alignment horizontal="center" wrapText="1"/>
    </xf>
    <xf numFmtId="44" fontId="20" fillId="0" borderId="36" xfId="0" applyNumberFormat="1" applyFont="1" applyBorder="1"/>
    <xf numFmtId="44" fontId="18" fillId="0" borderId="37" xfId="0" applyNumberFormat="1" applyFont="1" applyBorder="1"/>
    <xf numFmtId="44" fontId="18" fillId="0" borderId="36" xfId="0" applyNumberFormat="1" applyFont="1" applyBorder="1"/>
    <xf numFmtId="42" fontId="19" fillId="9" borderId="40" xfId="0" applyNumberFormat="1" applyFont="1" applyFill="1" applyBorder="1"/>
    <xf numFmtId="0" fontId="19" fillId="9" borderId="18" xfId="0" applyFont="1" applyFill="1" applyBorder="1"/>
    <xf numFmtId="42" fontId="19" fillId="9" borderId="38" xfId="0" applyNumberFormat="1" applyFont="1" applyFill="1" applyBorder="1"/>
    <xf numFmtId="42" fontId="23" fillId="8" borderId="43" xfId="0" applyNumberFormat="1" applyFont="1" applyFill="1" applyBorder="1"/>
    <xf numFmtId="44" fontId="18" fillId="0" borderId="50" xfId="0" applyNumberFormat="1" applyFont="1" applyBorder="1"/>
    <xf numFmtId="42" fontId="18" fillId="8" borderId="45" xfId="0" applyNumberFormat="1" applyFont="1" applyFill="1" applyBorder="1"/>
    <xf numFmtId="0" fontId="18" fillId="0" borderId="44" xfId="0" applyFont="1" applyBorder="1" applyAlignment="1">
      <alignment horizontal="center"/>
    </xf>
    <xf numFmtId="0" fontId="18" fillId="0" borderId="45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46" xfId="0" applyFont="1" applyBorder="1"/>
    <xf numFmtId="42" fontId="18" fillId="0" borderId="47" xfId="0" applyNumberFormat="1" applyFont="1" applyBorder="1"/>
    <xf numFmtId="42" fontId="18" fillId="0" borderId="13" xfId="0" applyNumberFormat="1" applyFont="1" applyBorder="1"/>
    <xf numFmtId="0" fontId="18" fillId="0" borderId="48" xfId="0" applyFont="1" applyBorder="1"/>
    <xf numFmtId="42" fontId="18" fillId="0" borderId="36" xfId="0" applyNumberFormat="1" applyFont="1" applyBorder="1"/>
    <xf numFmtId="0" fontId="18" fillId="0" borderId="49" xfId="0" applyFont="1" applyBorder="1"/>
    <xf numFmtId="42" fontId="18" fillId="0" borderId="50" xfId="0" applyNumberFormat="1" applyFont="1" applyBorder="1"/>
    <xf numFmtId="42" fontId="18" fillId="0" borderId="4" xfId="0" applyNumberFormat="1" applyFont="1" applyBorder="1"/>
    <xf numFmtId="0" fontId="18" fillId="0" borderId="44" xfId="0" applyFont="1" applyBorder="1"/>
    <xf numFmtId="42" fontId="18" fillId="0" borderId="45" xfId="0" applyNumberFormat="1" applyFont="1" applyBorder="1"/>
    <xf numFmtId="42" fontId="18" fillId="0" borderId="25" xfId="0" applyNumberFormat="1" applyFont="1" applyBorder="1"/>
    <xf numFmtId="171" fontId="23" fillId="8" borderId="3" xfId="0" applyNumberFormat="1" applyFont="1" applyFill="1" applyBorder="1" applyAlignment="1">
      <alignment horizontal="center"/>
    </xf>
    <xf numFmtId="171" fontId="23" fillId="8" borderId="4" xfId="0" applyNumberFormat="1" applyFont="1" applyFill="1" applyBorder="1" applyAlignment="1">
      <alignment horizontal="center"/>
    </xf>
    <xf numFmtId="42" fontId="19" fillId="9" borderId="24" xfId="0" applyNumberFormat="1" applyFont="1" applyFill="1" applyBorder="1" applyAlignment="1">
      <alignment horizontal="left"/>
    </xf>
    <xf numFmtId="42" fontId="19" fillId="9" borderId="10" xfId="0" applyNumberFormat="1" applyFont="1" applyFill="1" applyBorder="1"/>
    <xf numFmtId="42" fontId="18" fillId="8" borderId="1" xfId="0" applyNumberFormat="1" applyFont="1" applyFill="1" applyBorder="1"/>
    <xf numFmtId="42" fontId="23" fillId="8" borderId="29" xfId="0" applyNumberFormat="1" applyFont="1" applyFill="1" applyBorder="1"/>
    <xf numFmtId="0" fontId="20" fillId="0" borderId="51" xfId="0" applyFont="1" applyBorder="1" applyAlignment="1">
      <alignment horizontal="center" wrapText="1"/>
    </xf>
    <xf numFmtId="0" fontId="18" fillId="0" borderId="26" xfId="0" applyFont="1" applyBorder="1" applyAlignment="1">
      <alignment horizontal="center"/>
    </xf>
    <xf numFmtId="0" fontId="18" fillId="0" borderId="18" xfId="0" applyFont="1" applyBorder="1" applyAlignment="1">
      <alignment horizontal="center" wrapText="1"/>
    </xf>
    <xf numFmtId="0" fontId="18" fillId="0" borderId="27" xfId="0" applyFont="1" applyBorder="1" applyAlignment="1">
      <alignment horizontal="center" wrapText="1"/>
    </xf>
    <xf numFmtId="0" fontId="18" fillId="0" borderId="1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66" fontId="18" fillId="0" borderId="0" xfId="2" applyNumberFormat="1" applyFont="1" applyBorder="1"/>
    <xf numFmtId="169" fontId="18" fillId="0" borderId="0" xfId="3" applyNumberFormat="1" applyFont="1" applyBorder="1"/>
    <xf numFmtId="44" fontId="18" fillId="0" borderId="2" xfId="0" applyNumberFormat="1" applyFont="1" applyBorder="1"/>
    <xf numFmtId="169" fontId="18" fillId="0" borderId="0" xfId="3" applyNumberFormat="1" applyFont="1" applyFill="1" applyBorder="1"/>
    <xf numFmtId="8" fontId="23" fillId="8" borderId="24" xfId="0" applyNumberFormat="1" applyFont="1" applyFill="1" applyBorder="1" applyAlignment="1">
      <alignment vertical="center"/>
    </xf>
    <xf numFmtId="42" fontId="23" fillId="8" borderId="24" xfId="0" applyNumberFormat="1" applyFont="1" applyFill="1" applyBorder="1" applyAlignment="1">
      <alignment vertical="center"/>
    </xf>
    <xf numFmtId="0" fontId="18" fillId="8" borderId="25" xfId="0" applyFont="1" applyFill="1" applyBorder="1"/>
    <xf numFmtId="8" fontId="23" fillId="8" borderId="3" xfId="0" applyNumberFormat="1" applyFont="1" applyFill="1" applyBorder="1" applyAlignment="1">
      <alignment vertical="center"/>
    </xf>
    <xf numFmtId="42" fontId="23" fillId="8" borderId="4" xfId="0" applyNumberFormat="1" applyFont="1" applyFill="1" applyBorder="1"/>
    <xf numFmtId="0" fontId="24" fillId="0" borderId="18" xfId="0" applyFont="1" applyBorder="1"/>
    <xf numFmtId="166" fontId="18" fillId="0" borderId="0" xfId="2" applyNumberFormat="1" applyFont="1" applyFill="1" applyBorder="1"/>
    <xf numFmtId="0" fontId="25" fillId="0" borderId="0" xfId="0" applyFont="1"/>
    <xf numFmtId="0" fontId="3" fillId="0" borderId="0" xfId="0" applyFont="1"/>
    <xf numFmtId="0" fontId="3" fillId="0" borderId="7" xfId="0" applyFont="1" applyBorder="1"/>
    <xf numFmtId="0" fontId="26" fillId="0" borderId="0" xfId="0" applyFont="1"/>
    <xf numFmtId="6" fontId="3" fillId="0" borderId="7" xfId="0" applyNumberFormat="1" applyFont="1" applyBorder="1"/>
    <xf numFmtId="6" fontId="3" fillId="0" borderId="0" xfId="0" applyNumberFormat="1" applyFont="1"/>
    <xf numFmtId="0" fontId="3" fillId="0" borderId="0" xfId="0" applyFont="1" applyBorder="1"/>
    <xf numFmtId="168" fontId="0" fillId="0" borderId="0" xfId="0" applyNumberFormat="1"/>
    <xf numFmtId="44" fontId="0" fillId="0" borderId="0" xfId="0" applyNumberFormat="1"/>
    <xf numFmtId="44" fontId="20" fillId="0" borderId="0" xfId="0" applyNumberFormat="1" applyFont="1" applyBorder="1"/>
    <xf numFmtId="0" fontId="19" fillId="9" borderId="0" xfId="0" applyFont="1" applyFill="1" applyBorder="1"/>
    <xf numFmtId="0" fontId="0" fillId="0" borderId="0" xfId="0"/>
    <xf numFmtId="42" fontId="18" fillId="0" borderId="0" xfId="0" applyNumberFormat="1" applyFont="1" applyBorder="1"/>
    <xf numFmtId="0" fontId="0" fillId="0" borderId="0" xfId="0"/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10" fontId="0" fillId="0" borderId="0" xfId="0" applyNumberFormat="1"/>
    <xf numFmtId="166" fontId="0" fillId="0" borderId="7" xfId="0" applyNumberFormat="1" applyBorder="1"/>
    <xf numFmtId="43" fontId="0" fillId="0" borderId="7" xfId="0" applyNumberFormat="1" applyBorder="1"/>
    <xf numFmtId="0" fontId="27" fillId="0" borderId="0" xfId="0" applyFont="1"/>
    <xf numFmtId="0" fontId="0" fillId="0" borderId="0" xfId="0" applyFont="1" applyAlignment="1">
      <alignment vertical="center"/>
    </xf>
    <xf numFmtId="37" fontId="0" fillId="0" borderId="0" xfId="0" applyNumberFormat="1"/>
    <xf numFmtId="0" fontId="28" fillId="0" borderId="0" xfId="5"/>
    <xf numFmtId="0" fontId="0" fillId="0" borderId="7" xfId="0" applyFill="1" applyBorder="1"/>
    <xf numFmtId="0" fontId="18" fillId="0" borderId="48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3" fillId="8" borderId="6" xfId="0" applyFont="1" applyFill="1" applyBorder="1"/>
    <xf numFmtId="0" fontId="0" fillId="0" borderId="0" xfId="0" applyBorder="1" applyAlignment="1">
      <alignment horizontal="center"/>
    </xf>
    <xf numFmtId="44" fontId="0" fillId="0" borderId="0" xfId="0" applyNumberFormat="1" applyBorder="1"/>
    <xf numFmtId="44" fontId="0" fillId="0" borderId="2" xfId="0" applyNumberFormat="1" applyBorder="1"/>
    <xf numFmtId="44" fontId="0" fillId="0" borderId="3" xfId="0" applyNumberFormat="1" applyBorder="1"/>
    <xf numFmtId="44" fontId="0" fillId="0" borderId="4" xfId="0" applyNumberFormat="1" applyBorder="1"/>
    <xf numFmtId="0" fontId="0" fillId="10" borderId="0" xfId="0" applyFill="1" applyBorder="1" applyAlignment="1">
      <alignment horizontal="center"/>
    </xf>
    <xf numFmtId="44" fontId="0" fillId="10" borderId="0" xfId="0" applyNumberFormat="1" applyFill="1" applyBorder="1"/>
    <xf numFmtId="44" fontId="0" fillId="10" borderId="2" xfId="0" applyNumberFormat="1" applyFill="1" applyBorder="1"/>
    <xf numFmtId="0" fontId="11" fillId="0" borderId="6" xfId="0" applyFont="1" applyBorder="1"/>
    <xf numFmtId="0" fontId="11" fillId="0" borderId="3" xfId="0" applyFont="1" applyBorder="1"/>
    <xf numFmtId="164" fontId="13" fillId="0" borderId="3" xfId="0" applyNumberFormat="1" applyFont="1" applyBorder="1"/>
    <xf numFmtId="164" fontId="1" fillId="0" borderId="4" xfId="0" applyNumberFormat="1" applyFont="1" applyBorder="1"/>
    <xf numFmtId="0" fontId="31" fillId="8" borderId="13" xfId="0" applyFont="1" applyFill="1" applyBorder="1"/>
    <xf numFmtId="0" fontId="11" fillId="0" borderId="48" xfId="0" applyFont="1" applyBorder="1"/>
    <xf numFmtId="0" fontId="11" fillId="0" borderId="36" xfId="0" applyFont="1" applyBorder="1"/>
    <xf numFmtId="0" fontId="11" fillId="0" borderId="58" xfId="0" applyFont="1" applyBorder="1"/>
    <xf numFmtId="0" fontId="11" fillId="0" borderId="59" xfId="0" applyFont="1" applyBorder="1"/>
    <xf numFmtId="0" fontId="0" fillId="0" borderId="60" xfId="0" applyBorder="1"/>
    <xf numFmtId="164" fontId="11" fillId="0" borderId="36" xfId="0" applyNumberFormat="1" applyFont="1" applyBorder="1"/>
    <xf numFmtId="0" fontId="11" fillId="0" borderId="61" xfId="0" applyFont="1" applyBorder="1"/>
    <xf numFmtId="164" fontId="11" fillId="0" borderId="37" xfId="0" applyNumberFormat="1" applyFont="1" applyBorder="1"/>
    <xf numFmtId="0" fontId="32" fillId="0" borderId="4" xfId="0" applyFont="1" applyFill="1" applyBorder="1" applyAlignment="1">
      <alignment horizontal="center"/>
    </xf>
    <xf numFmtId="0" fontId="11" fillId="0" borderId="62" xfId="0" applyFont="1" applyBorder="1"/>
    <xf numFmtId="0" fontId="11" fillId="0" borderId="38" xfId="0" applyFont="1" applyBorder="1"/>
    <xf numFmtId="164" fontId="11" fillId="0" borderId="38" xfId="0" applyNumberFormat="1" applyFont="1" applyBorder="1"/>
    <xf numFmtId="164" fontId="11" fillId="0" borderId="43" xfId="0" applyNumberFormat="1" applyFont="1" applyBorder="1"/>
    <xf numFmtId="0" fontId="0" fillId="0" borderId="27" xfId="0" applyBorder="1"/>
    <xf numFmtId="0" fontId="0" fillId="0" borderId="54" xfId="0" applyBorder="1"/>
    <xf numFmtId="0" fontId="0" fillId="0" borderId="42" xfId="0" applyBorder="1" applyAlignment="1">
      <alignment horizontal="center" wrapText="1"/>
    </xf>
    <xf numFmtId="0" fontId="0" fillId="0" borderId="60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6" fontId="0" fillId="0" borderId="0" xfId="0" applyNumberFormat="1" applyBorder="1" applyAlignment="1">
      <alignment horizontal="center"/>
    </xf>
    <xf numFmtId="6" fontId="0" fillId="0" borderId="2" xfId="0" applyNumberFormat="1" applyBorder="1" applyAlignment="1">
      <alignment horizontal="center"/>
    </xf>
    <xf numFmtId="8" fontId="0" fillId="0" borderId="2" xfId="0" applyNumberFormat="1" applyBorder="1" applyAlignment="1">
      <alignment horizontal="center"/>
    </xf>
    <xf numFmtId="6" fontId="1" fillId="0" borderId="4" xfId="0" applyNumberFormat="1" applyFont="1" applyBorder="1" applyAlignment="1">
      <alignment horizontal="center"/>
    </xf>
    <xf numFmtId="8" fontId="1" fillId="0" borderId="4" xfId="0" applyNumberFormat="1" applyFont="1" applyBorder="1" applyAlignment="1">
      <alignment horizontal="center"/>
    </xf>
    <xf numFmtId="0" fontId="0" fillId="0" borderId="11" xfId="0" applyBorder="1" applyAlignment="1">
      <alignment horizontal="center" wrapText="1"/>
    </xf>
    <xf numFmtId="2" fontId="0" fillId="0" borderId="0" xfId="0" applyNumberFormat="1" applyBorder="1" applyAlignment="1">
      <alignment horizontal="center"/>
    </xf>
    <xf numFmtId="0" fontId="0" fillId="0" borderId="14" xfId="0" applyBorder="1" applyAlignment="1">
      <alignment wrapText="1"/>
    </xf>
    <xf numFmtId="0" fontId="0" fillId="0" borderId="6" xfId="0" applyBorder="1" applyAlignment="1">
      <alignment wrapText="1"/>
    </xf>
    <xf numFmtId="0" fontId="29" fillId="11" borderId="18" xfId="0" applyFont="1" applyFill="1" applyBorder="1" applyAlignment="1">
      <alignment horizontal="center" vertical="center" wrapText="1"/>
    </xf>
    <xf numFmtId="0" fontId="29" fillId="11" borderId="27" xfId="0" applyFont="1" applyFill="1" applyBorder="1" applyAlignment="1">
      <alignment horizontal="center" vertical="center" wrapText="1"/>
    </xf>
    <xf numFmtId="0" fontId="0" fillId="0" borderId="42" xfId="0" applyBorder="1"/>
    <xf numFmtId="0" fontId="33" fillId="0" borderId="0" xfId="0" applyFont="1"/>
    <xf numFmtId="0" fontId="30" fillId="8" borderId="23" xfId="0" applyFont="1" applyFill="1" applyBorder="1"/>
    <xf numFmtId="0" fontId="30" fillId="8" borderId="24" xfId="0" applyFont="1" applyFill="1" applyBorder="1"/>
    <xf numFmtId="0" fontId="30" fillId="8" borderId="25" xfId="0" applyFont="1" applyFill="1" applyBorder="1"/>
    <xf numFmtId="42" fontId="0" fillId="0" borderId="65" xfId="0" applyNumberFormat="1" applyBorder="1"/>
    <xf numFmtId="42" fontId="0" fillId="0" borderId="66" xfId="0" applyNumberFormat="1" applyBorder="1"/>
    <xf numFmtId="0" fontId="34" fillId="0" borderId="0" xfId="0" applyFont="1"/>
    <xf numFmtId="0" fontId="35" fillId="0" borderId="0" xfId="0" applyFont="1"/>
    <xf numFmtId="0" fontId="18" fillId="0" borderId="0" xfId="0" applyFont="1" applyFill="1"/>
    <xf numFmtId="0" fontId="23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30" fillId="8" borderId="0" xfId="0" applyFont="1" applyFill="1"/>
    <xf numFmtId="0" fontId="1" fillId="0" borderId="8" xfId="0" applyFont="1" applyFill="1" applyBorder="1" applyAlignment="1">
      <alignment horizontal="center"/>
    </xf>
    <xf numFmtId="0" fontId="30" fillId="8" borderId="52" xfId="0" applyFont="1" applyFill="1" applyBorder="1"/>
    <xf numFmtId="0" fontId="0" fillId="11" borderId="36" xfId="0" applyFill="1" applyBorder="1"/>
    <xf numFmtId="167" fontId="0" fillId="0" borderId="36" xfId="3" applyNumberFormat="1" applyFont="1" applyBorder="1"/>
    <xf numFmtId="167" fontId="0" fillId="0" borderId="38" xfId="3" applyNumberFormat="1" applyFont="1" applyBorder="1"/>
    <xf numFmtId="0" fontId="0" fillId="0" borderId="36" xfId="0" applyBorder="1"/>
    <xf numFmtId="167" fontId="0" fillId="0" borderId="36" xfId="0" applyNumberFormat="1" applyBorder="1"/>
    <xf numFmtId="167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2" fontId="0" fillId="0" borderId="36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43" fontId="0" fillId="0" borderId="36" xfId="0" applyNumberFormat="1" applyBorder="1" applyAlignment="1">
      <alignment horizontal="left"/>
    </xf>
    <xf numFmtId="42" fontId="0" fillId="0" borderId="36" xfId="0" applyNumberFormat="1" applyBorder="1"/>
    <xf numFmtId="42" fontId="0" fillId="0" borderId="38" xfId="0" applyNumberFormat="1" applyBorder="1"/>
    <xf numFmtId="44" fontId="0" fillId="0" borderId="36" xfId="0" applyNumberFormat="1" applyBorder="1"/>
    <xf numFmtId="44" fontId="0" fillId="0" borderId="38" xfId="0" applyNumberFormat="1" applyBorder="1"/>
    <xf numFmtId="42" fontId="29" fillId="8" borderId="29" xfId="0" applyNumberFormat="1" applyFont="1" applyFill="1" applyBorder="1"/>
    <xf numFmtId="167" fontId="29" fillId="8" borderId="29" xfId="3" applyNumberFormat="1" applyFont="1" applyFill="1" applyBorder="1"/>
    <xf numFmtId="0" fontId="29" fillId="8" borderId="0" xfId="0" applyFont="1" applyFill="1"/>
    <xf numFmtId="42" fontId="29" fillId="8" borderId="0" xfId="0" applyNumberFormat="1" applyFont="1" applyFill="1"/>
    <xf numFmtId="167" fontId="29" fillId="8" borderId="0" xfId="3" applyNumberFormat="1" applyFont="1" applyFill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166" fontId="0" fillId="0" borderId="7" xfId="2" applyNumberFormat="1" applyFont="1" applyBorder="1" applyAlignment="1">
      <alignment horizontal="center"/>
    </xf>
    <xf numFmtId="37" fontId="0" fillId="0" borderId="7" xfId="2" applyNumberFormat="1" applyFont="1" applyBorder="1" applyAlignment="1">
      <alignment horizontal="center"/>
    </xf>
    <xf numFmtId="37" fontId="0" fillId="0" borderId="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43" fontId="0" fillId="0" borderId="0" xfId="2" applyFont="1" applyAlignment="1">
      <alignment horizontal="center"/>
    </xf>
    <xf numFmtId="3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164" fontId="30" fillId="8" borderId="0" xfId="0" applyNumberFormat="1" applyFont="1" applyFill="1"/>
    <xf numFmtId="164" fontId="29" fillId="8" borderId="1" xfId="0" applyNumberFormat="1" applyFont="1" applyFill="1" applyBorder="1"/>
    <xf numFmtId="164" fontId="29" fillId="8" borderId="0" xfId="0" applyNumberFormat="1" applyFont="1" applyFill="1"/>
    <xf numFmtId="0" fontId="29" fillId="11" borderId="52" xfId="0" applyFont="1" applyFill="1" applyBorder="1" applyAlignment="1">
      <alignment horizontal="center" vertical="top" wrapText="1"/>
    </xf>
    <xf numFmtId="0" fontId="29" fillId="11" borderId="38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center"/>
    </xf>
    <xf numFmtId="42" fontId="3" fillId="0" borderId="7" xfId="0" applyNumberFormat="1" applyFont="1" applyBorder="1"/>
    <xf numFmtId="44" fontId="3" fillId="0" borderId="7" xfId="0" applyNumberFormat="1" applyFont="1" applyBorder="1"/>
    <xf numFmtId="0" fontId="30" fillId="11" borderId="0" xfId="0" applyFont="1" applyFill="1"/>
    <xf numFmtId="0" fontId="30" fillId="0" borderId="0" xfId="0" applyFont="1" applyFill="1"/>
    <xf numFmtId="0" fontId="0" fillId="0" borderId="0" xfId="0" applyFill="1"/>
    <xf numFmtId="0" fontId="3" fillId="0" borderId="0" xfId="0" applyFont="1"/>
    <xf numFmtId="0" fontId="20" fillId="0" borderId="19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37" fontId="20" fillId="0" borderId="0" xfId="0" applyNumberFormat="1" applyFont="1" applyBorder="1" applyAlignment="1">
      <alignment horizontal="center"/>
    </xf>
    <xf numFmtId="0" fontId="29" fillId="11" borderId="52" xfId="0" applyFont="1" applyFill="1" applyBorder="1" applyAlignment="1">
      <alignment horizontal="center"/>
    </xf>
    <xf numFmtId="0" fontId="29" fillId="11" borderId="52" xfId="0" applyFont="1" applyFill="1" applyBorder="1" applyAlignment="1">
      <alignment horizontal="center" wrapText="1"/>
    </xf>
    <xf numFmtId="0" fontId="30" fillId="8" borderId="38" xfId="0" applyFont="1" applyFill="1" applyBorder="1"/>
    <xf numFmtId="167" fontId="29" fillId="8" borderId="38" xfId="3" applyNumberFormat="1" applyFont="1" applyFill="1" applyBorder="1"/>
    <xf numFmtId="0" fontId="29" fillId="8" borderId="38" xfId="0" applyFont="1" applyFill="1" applyBorder="1" applyAlignment="1">
      <alignment horizontal="center"/>
    </xf>
    <xf numFmtId="6" fontId="37" fillId="0" borderId="7" xfId="0" applyNumberFormat="1" applyFont="1" applyBorder="1"/>
    <xf numFmtId="0" fontId="29" fillId="8" borderId="7" xfId="0" applyFont="1" applyFill="1" applyBorder="1" applyAlignment="1">
      <alignment horizontal="center"/>
    </xf>
    <xf numFmtId="6" fontId="36" fillId="8" borderId="7" xfId="0" applyNumberFormat="1" applyFont="1" applyFill="1" applyBorder="1"/>
    <xf numFmtId="44" fontId="29" fillId="8" borderId="7" xfId="0" applyNumberFormat="1" applyFont="1" applyFill="1" applyBorder="1"/>
    <xf numFmtId="0" fontId="30" fillId="8" borderId="0" xfId="0" applyFont="1" applyFill="1" applyAlignment="1">
      <alignment horizontal="right"/>
    </xf>
    <xf numFmtId="0" fontId="22" fillId="8" borderId="23" xfId="0" applyFont="1" applyFill="1" applyBorder="1" applyAlignment="1">
      <alignment horizontal="center"/>
    </xf>
    <xf numFmtId="0" fontId="22" fillId="8" borderId="24" xfId="0" applyFont="1" applyFill="1" applyBorder="1" applyAlignment="1">
      <alignment horizontal="center"/>
    </xf>
    <xf numFmtId="0" fontId="22" fillId="8" borderId="2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8" borderId="54" xfId="0" applyFont="1" applyFill="1" applyBorder="1" applyAlignment="1">
      <alignment horizontal="center"/>
    </xf>
    <xf numFmtId="0" fontId="17" fillId="8" borderId="42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3" fillId="0" borderId="57" xfId="0" applyFont="1" applyBorder="1" applyAlignment="1">
      <alignment horizontal="center"/>
    </xf>
    <xf numFmtId="0" fontId="13" fillId="0" borderId="56" xfId="0" applyFont="1" applyBorder="1" applyAlignment="1">
      <alignment horizontal="center"/>
    </xf>
    <xf numFmtId="0" fontId="0" fillId="0" borderId="32" xfId="0" applyBorder="1" applyAlignment="1"/>
    <xf numFmtId="0" fontId="0" fillId="0" borderId="0" xfId="0" applyAlignment="1"/>
    <xf numFmtId="0" fontId="23" fillId="8" borderId="23" xfId="0" applyFont="1" applyFill="1" applyBorder="1" applyAlignment="1">
      <alignment horizontal="left" vertical="center"/>
    </xf>
    <xf numFmtId="0" fontId="23" fillId="8" borderId="24" xfId="0" applyFont="1" applyFill="1" applyBorder="1" applyAlignment="1">
      <alignment horizontal="left" vertical="center"/>
    </xf>
    <xf numFmtId="0" fontId="23" fillId="8" borderId="6" xfId="0" applyFont="1" applyFill="1" applyBorder="1" applyAlignment="1">
      <alignment horizontal="left" vertical="center"/>
    </xf>
    <xf numFmtId="0" fontId="23" fillId="8" borderId="3" xfId="0" applyFont="1" applyFill="1" applyBorder="1" applyAlignment="1">
      <alignment horizontal="left" vertical="center"/>
    </xf>
    <xf numFmtId="0" fontId="23" fillId="8" borderId="11" xfId="0" applyFont="1" applyFill="1" applyBorder="1" applyAlignment="1">
      <alignment horizontal="center" vertical="center"/>
    </xf>
    <xf numFmtId="0" fontId="23" fillId="8" borderId="12" xfId="0" applyFont="1" applyFill="1" applyBorder="1" applyAlignment="1">
      <alignment horizontal="center" vertical="center"/>
    </xf>
    <xf numFmtId="0" fontId="21" fillId="8" borderId="12" xfId="0" applyFont="1" applyFill="1" applyBorder="1" applyAlignment="1"/>
    <xf numFmtId="0" fontId="21" fillId="8" borderId="13" xfId="0" applyFont="1" applyFill="1" applyBorder="1" applyAlignment="1"/>
    <xf numFmtId="0" fontId="0" fillId="0" borderId="14" xfId="0" applyBorder="1" applyAlignment="1"/>
    <xf numFmtId="0" fontId="0" fillId="0" borderId="0" xfId="0" applyBorder="1" applyAlignment="1"/>
    <xf numFmtId="0" fontId="0" fillId="10" borderId="14" xfId="0" applyFill="1" applyBorder="1" applyAlignment="1"/>
    <xf numFmtId="0" fontId="0" fillId="10" borderId="0" xfId="0" applyFill="1" applyBorder="1" applyAlignment="1"/>
    <xf numFmtId="0" fontId="0" fillId="0" borderId="6" xfId="0" applyBorder="1" applyAlignment="1"/>
    <xf numFmtId="0" fontId="0" fillId="0" borderId="3" xfId="0" applyBorder="1" applyAlignment="1"/>
    <xf numFmtId="0" fontId="29" fillId="11" borderId="26" xfId="0" applyFont="1" applyFill="1" applyBorder="1" applyAlignment="1">
      <alignment horizontal="center" vertical="center"/>
    </xf>
    <xf numFmtId="0" fontId="29" fillId="11" borderId="18" xfId="0" applyFont="1" applyFill="1" applyBorder="1" applyAlignment="1">
      <alignment horizontal="center" vertical="center"/>
    </xf>
    <xf numFmtId="0" fontId="29" fillId="8" borderId="11" xfId="0" applyFont="1" applyFill="1" applyBorder="1" applyAlignment="1">
      <alignment horizontal="center" wrapText="1"/>
    </xf>
    <xf numFmtId="0" fontId="29" fillId="8" borderId="12" xfId="0" applyFont="1" applyFill="1" applyBorder="1" applyAlignment="1">
      <alignment horizontal="center" wrapText="1"/>
    </xf>
    <xf numFmtId="0" fontId="29" fillId="8" borderId="13" xfId="0" applyFont="1" applyFill="1" applyBorder="1" applyAlignment="1">
      <alignment horizontal="center" wrapText="1"/>
    </xf>
    <xf numFmtId="0" fontId="18" fillId="0" borderId="0" xfId="0" applyFont="1" applyAlignment="1"/>
    <xf numFmtId="0" fontId="19" fillId="9" borderId="41" xfId="0" applyFont="1" applyFill="1" applyBorder="1"/>
    <xf numFmtId="0" fontId="19" fillId="9" borderId="42" xfId="0" applyFont="1" applyFill="1" applyBorder="1"/>
    <xf numFmtId="0" fontId="19" fillId="9" borderId="30" xfId="0" applyFont="1" applyFill="1" applyBorder="1"/>
    <xf numFmtId="0" fontId="19" fillId="9" borderId="10" xfId="0" applyFont="1" applyFill="1" applyBorder="1"/>
    <xf numFmtId="0" fontId="19" fillId="9" borderId="21" xfId="0" applyFont="1" applyFill="1" applyBorder="1"/>
    <xf numFmtId="0" fontId="19" fillId="9" borderId="22" xfId="0" applyFont="1" applyFill="1" applyBorder="1"/>
    <xf numFmtId="0" fontId="19" fillId="9" borderId="31" xfId="0" applyFont="1" applyFill="1" applyBorder="1" applyAlignment="1">
      <alignment horizontal="center"/>
    </xf>
    <xf numFmtId="0" fontId="19" fillId="9" borderId="32" xfId="0" applyFont="1" applyFill="1" applyBorder="1" applyAlignment="1">
      <alignment horizontal="center"/>
    </xf>
    <xf numFmtId="0" fontId="18" fillId="8" borderId="33" xfId="0" applyFont="1" applyFill="1" applyBorder="1" applyAlignment="1">
      <alignment horizontal="center"/>
    </xf>
    <xf numFmtId="0" fontId="19" fillId="9" borderId="39" xfId="0" applyFont="1" applyFill="1" applyBorder="1"/>
    <xf numFmtId="0" fontId="19" fillId="9" borderId="19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23" xfId="0" applyFont="1" applyFill="1" applyBorder="1"/>
    <xf numFmtId="0" fontId="19" fillId="9" borderId="24" xfId="0" applyFont="1" applyFill="1" applyBorder="1"/>
    <xf numFmtId="0" fontId="19" fillId="9" borderId="6" xfId="0" applyFont="1" applyFill="1" applyBorder="1"/>
    <xf numFmtId="0" fontId="19" fillId="9" borderId="3" xfId="0" applyFont="1" applyFill="1" applyBorder="1"/>
    <xf numFmtId="0" fontId="19" fillId="9" borderId="11" xfId="0" applyFont="1" applyFill="1" applyBorder="1" applyAlignment="1">
      <alignment horizontal="center"/>
    </xf>
    <xf numFmtId="0" fontId="19" fillId="9" borderId="12" xfId="0" applyFont="1" applyFill="1" applyBorder="1" applyAlignment="1">
      <alignment horizontal="center"/>
    </xf>
    <xf numFmtId="0" fontId="18" fillId="8" borderId="13" xfId="0" applyFont="1" applyFill="1" applyBorder="1" applyAlignment="1">
      <alignment horizontal="center"/>
    </xf>
    <xf numFmtId="0" fontId="29" fillId="8" borderId="31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36" fillId="8" borderId="8" xfId="0" applyFont="1" applyFill="1" applyBorder="1" applyAlignment="1">
      <alignment horizontal="center"/>
    </xf>
    <xf numFmtId="0" fontId="17" fillId="8" borderId="53" xfId="0" applyFont="1" applyFill="1" applyBorder="1" applyAlignment="1">
      <alignment horizontal="center"/>
    </xf>
    <xf numFmtId="0" fontId="17" fillId="8" borderId="9" xfId="0" applyFont="1" applyFill="1" applyBorder="1" applyAlignment="1">
      <alignment horizontal="center"/>
    </xf>
    <xf numFmtId="0" fontId="29" fillId="8" borderId="8" xfId="0" applyFont="1" applyFill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9" xfId="0" applyBorder="1" applyAlignment="1">
      <alignment horizontal="center"/>
    </xf>
    <xf numFmtId="0" fontId="36" fillId="11" borderId="8" xfId="0" applyFont="1" applyFill="1" applyBorder="1" applyAlignment="1">
      <alignment horizontal="center"/>
    </xf>
    <xf numFmtId="0" fontId="36" fillId="11" borderId="53" xfId="0" applyFont="1" applyFill="1" applyBorder="1" applyAlignment="1">
      <alignment horizontal="center"/>
    </xf>
    <xf numFmtId="0" fontId="36" fillId="11" borderId="9" xfId="0" applyFont="1" applyFill="1" applyBorder="1" applyAlignment="1">
      <alignment horizontal="center"/>
    </xf>
    <xf numFmtId="0" fontId="37" fillId="0" borderId="8" xfId="0" applyFont="1" applyBorder="1" applyAlignment="1">
      <alignment horizontal="left"/>
    </xf>
    <xf numFmtId="0" fontId="37" fillId="0" borderId="53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0" fontId="17" fillId="8" borderId="8" xfId="0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29" fillId="11" borderId="52" xfId="0" applyFont="1" applyFill="1" applyBorder="1" applyAlignment="1">
      <alignment horizontal="center" vertical="top"/>
    </xf>
    <xf numFmtId="0" fontId="29" fillId="11" borderId="38" xfId="0" applyFont="1" applyFill="1" applyBorder="1" applyAlignment="1">
      <alignment horizontal="center" vertical="top"/>
    </xf>
    <xf numFmtId="0" fontId="29" fillId="11" borderId="52" xfId="0" applyFont="1" applyFill="1" applyBorder="1" applyAlignment="1">
      <alignment horizontal="center" vertical="top" wrapText="1"/>
    </xf>
    <xf numFmtId="0" fontId="29" fillId="11" borderId="38" xfId="0" applyFont="1" applyFill="1" applyBorder="1" applyAlignment="1">
      <alignment horizontal="center" vertical="top" wrapText="1"/>
    </xf>
    <xf numFmtId="0" fontId="3" fillId="0" borderId="0" xfId="0" applyFont="1"/>
    <xf numFmtId="0" fontId="3" fillId="0" borderId="37" xfId="0" applyFont="1" applyBorder="1"/>
    <xf numFmtId="0" fontId="1" fillId="0" borderId="0" xfId="0" applyFont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18" fillId="0" borderId="0" xfId="0" applyFont="1" applyAlignment="1">
      <alignment wrapText="1"/>
    </xf>
    <xf numFmtId="0" fontId="0" fillId="0" borderId="14" xfId="0" applyFill="1" applyBorder="1"/>
    <xf numFmtId="8" fontId="0" fillId="0" borderId="2" xfId="0" applyNumberFormat="1" applyFill="1" applyBorder="1"/>
    <xf numFmtId="0" fontId="0" fillId="0" borderId="2" xfId="0" applyFill="1" applyBorder="1"/>
    <xf numFmtId="0" fontId="0" fillId="0" borderId="6" xfId="0" applyFill="1" applyBorder="1"/>
    <xf numFmtId="0" fontId="0" fillId="0" borderId="3" xfId="0" applyFill="1" applyBorder="1"/>
    <xf numFmtId="8" fontId="0" fillId="0" borderId="3" xfId="0" applyNumberFormat="1" applyFill="1" applyBorder="1"/>
    <xf numFmtId="0" fontId="0" fillId="0" borderId="4" xfId="0" applyFill="1" applyBorder="1"/>
    <xf numFmtId="3" fontId="18" fillId="0" borderId="0" xfId="0" applyNumberFormat="1" applyFont="1"/>
    <xf numFmtId="0" fontId="36" fillId="8" borderId="0" xfId="0" applyFont="1" applyFill="1" applyAlignment="1">
      <alignment horizontal="center"/>
    </xf>
    <xf numFmtId="0" fontId="11" fillId="12" borderId="0" xfId="0" applyFont="1" applyFill="1"/>
    <xf numFmtId="0" fontId="36" fillId="12" borderId="0" xfId="0" applyFont="1" applyFill="1" applyAlignment="1">
      <alignment horizontal="center" wrapText="1"/>
    </xf>
    <xf numFmtId="0" fontId="11" fillId="0" borderId="0" xfId="0" applyFont="1" applyFill="1"/>
    <xf numFmtId="3" fontId="11" fillId="0" borderId="0" xfId="0" applyNumberFormat="1" applyFont="1" applyFill="1"/>
    <xf numFmtId="3" fontId="11" fillId="0" borderId="0" xfId="0" applyNumberFormat="1" applyFont="1"/>
    <xf numFmtId="0" fontId="13" fillId="12" borderId="0" xfId="0" applyFont="1" applyFill="1"/>
    <xf numFmtId="0" fontId="13" fillId="0" borderId="0" xfId="0" applyFont="1" applyFill="1"/>
    <xf numFmtId="0" fontId="0" fillId="0" borderId="0" xfId="0" applyFont="1" applyAlignment="1">
      <alignment horizontal="center"/>
    </xf>
    <xf numFmtId="0" fontId="36" fillId="12" borderId="0" xfId="0" applyFont="1" applyFill="1" applyAlignment="1">
      <alignment horizontal="center"/>
    </xf>
    <xf numFmtId="6" fontId="11" fillId="0" borderId="0" xfId="0" applyNumberFormat="1" applyFont="1" applyFill="1"/>
    <xf numFmtId="0" fontId="36" fillId="11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8" fontId="11" fillId="0" borderId="0" xfId="0" applyNumberFormat="1" applyFont="1"/>
    <xf numFmtId="0" fontId="36" fillId="8" borderId="11" xfId="0" applyFont="1" applyFill="1" applyBorder="1" applyAlignment="1">
      <alignment horizontal="center"/>
    </xf>
    <xf numFmtId="0" fontId="36" fillId="8" borderId="12" xfId="0" applyFont="1" applyFill="1" applyBorder="1" applyAlignment="1">
      <alignment horizontal="center"/>
    </xf>
    <xf numFmtId="0" fontId="36" fillId="8" borderId="13" xfId="0" applyFont="1" applyFill="1" applyBorder="1" applyAlignment="1">
      <alignment horizontal="center"/>
    </xf>
    <xf numFmtId="0" fontId="36" fillId="11" borderId="14" xfId="0" applyFont="1" applyFill="1" applyBorder="1" applyAlignment="1">
      <alignment horizontal="center"/>
    </xf>
    <xf numFmtId="0" fontId="36" fillId="11" borderId="0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0" fontId="11" fillId="0" borderId="62" xfId="0" applyFont="1" applyFill="1" applyBorder="1"/>
    <xf numFmtId="9" fontId="11" fillId="0" borderId="38" xfId="0" applyNumberFormat="1" applyFont="1" applyFill="1" applyBorder="1" applyAlignment="1">
      <alignment horizontal="center"/>
    </xf>
    <xf numFmtId="0" fontId="11" fillId="0" borderId="27" xfId="0" applyFont="1" applyFill="1" applyBorder="1"/>
    <xf numFmtId="0" fontId="11" fillId="0" borderId="38" xfId="0" applyFont="1" applyFill="1" applyBorder="1" applyAlignment="1">
      <alignment horizontal="center"/>
    </xf>
    <xf numFmtId="0" fontId="11" fillId="0" borderId="55" xfId="0" applyFont="1" applyFill="1" applyBorder="1"/>
    <xf numFmtId="0" fontId="11" fillId="0" borderId="7" xfId="0" applyFont="1" applyFill="1" applyBorder="1" applyAlignment="1">
      <alignment horizontal="center"/>
    </xf>
    <xf numFmtId="0" fontId="11" fillId="0" borderId="63" xfId="0" applyFont="1" applyFill="1" applyBorder="1"/>
    <xf numFmtId="10" fontId="11" fillId="0" borderId="7" xfId="0" applyNumberFormat="1" applyFont="1" applyFill="1" applyBorder="1" applyAlignment="1">
      <alignment horizontal="center"/>
    </xf>
    <xf numFmtId="0" fontId="11" fillId="0" borderId="63" xfId="0" applyFont="1" applyFill="1" applyBorder="1" applyAlignment="1">
      <alignment horizontal="left" wrapText="1"/>
    </xf>
    <xf numFmtId="0" fontId="11" fillId="0" borderId="63" xfId="0" applyFont="1" applyFill="1" applyBorder="1" applyAlignment="1">
      <alignment horizontal="left"/>
    </xf>
    <xf numFmtId="6" fontId="11" fillId="0" borderId="7" xfId="0" applyNumberFormat="1" applyFont="1" applyFill="1" applyBorder="1" applyAlignment="1">
      <alignment horizontal="center"/>
    </xf>
    <xf numFmtId="0" fontId="11" fillId="0" borderId="64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6" fontId="11" fillId="0" borderId="38" xfId="0" applyNumberFormat="1" applyFont="1" applyFill="1" applyBorder="1" applyAlignment="1">
      <alignment horizontal="center"/>
    </xf>
    <xf numFmtId="0" fontId="11" fillId="0" borderId="27" xfId="0" applyFont="1" applyFill="1" applyBorder="1" applyAlignment="1">
      <alignment horizontal="left" wrapText="1"/>
    </xf>
    <xf numFmtId="0" fontId="11" fillId="0" borderId="49" xfId="0" applyFont="1" applyFill="1" applyBorder="1"/>
    <xf numFmtId="0" fontId="11" fillId="0" borderId="50" xfId="0" applyFont="1" applyFill="1" applyBorder="1" applyAlignment="1">
      <alignment wrapText="1"/>
    </xf>
    <xf numFmtId="0" fontId="11" fillId="0" borderId="4" xfId="0" applyFont="1" applyFill="1" applyBorder="1" applyAlignment="1">
      <alignment horizontal="left" wrapText="1"/>
    </xf>
  </cellXfs>
  <cellStyles count="6">
    <cellStyle name="Comma" xfId="2" builtinId="3"/>
    <cellStyle name="Currency" xfId="3" builtinId="4"/>
    <cellStyle name="Hyperlink" xfId="5" builtinId="8"/>
    <cellStyle name="Normal" xfId="0" builtinId="0"/>
    <cellStyle name="Normal 2" xfId="1" xr:uid="{6016A6D1-46D5-496B-81C4-372D247C2322}"/>
    <cellStyle name="Style0" xfId="4" xr:uid="{EB3907BC-FA9C-4A40-A15A-A78D4952A20F}"/>
  </cellStyles>
  <dxfs count="0"/>
  <tableStyles count="0" defaultTableStyle="TableStyleMedium2" defaultPivotStyle="PivotStyleLight16"/>
  <colors>
    <mruColors>
      <color rgb="FF2B475C"/>
      <color rgb="FFED751C"/>
      <color rgb="FF0221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40</xdr:row>
      <xdr:rowOff>152400</xdr:rowOff>
    </xdr:from>
    <xdr:to>
      <xdr:col>19</xdr:col>
      <xdr:colOff>66251</xdr:colOff>
      <xdr:row>67</xdr:row>
      <xdr:rowOff>184853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54DF69-D194-4323-A80A-7B87E98D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7781925"/>
          <a:ext cx="12686876" cy="51759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38100</xdr:rowOff>
    </xdr:from>
    <xdr:to>
      <xdr:col>8</xdr:col>
      <xdr:colOff>639824</xdr:colOff>
      <xdr:row>39</xdr:row>
      <xdr:rowOff>93101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D48AE-E4DD-46B4-9387-8EE405CB6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953125"/>
          <a:ext cx="5840474" cy="1579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energy.gov/eere/vehicles/fact-861-february-23-2015-idle-fuel-consumption-selected-gasoline-and-diesel-vehicles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74C3B-87C0-4524-A60B-9A71EBC6E437}">
  <sheetPr>
    <pageSetUpPr fitToPage="1"/>
  </sheetPr>
  <dimension ref="A2:D18"/>
  <sheetViews>
    <sheetView tabSelected="1" workbookViewId="0">
      <selection activeCell="C28" sqref="C28"/>
    </sheetView>
  </sheetViews>
  <sheetFormatPr defaultRowHeight="15" x14ac:dyDescent="0.25"/>
  <cols>
    <col min="1" max="1" width="6.140625" customWidth="1"/>
    <col min="2" max="2" width="47.28515625" bestFit="1" customWidth="1"/>
    <col min="3" max="3" width="30" customWidth="1"/>
    <col min="4" max="4" width="29.42578125" customWidth="1"/>
    <col min="5" max="5" width="25" customWidth="1"/>
    <col min="6" max="6" width="13.7109375" bestFit="1" customWidth="1"/>
    <col min="8" max="8" width="14.28515625" customWidth="1"/>
  </cols>
  <sheetData>
    <row r="2" spans="2:4" ht="15.75" thickBot="1" x14ac:dyDescent="0.3"/>
    <row r="3" spans="2:4" ht="16.5" thickBot="1" x14ac:dyDescent="0.3">
      <c r="B3" s="297" t="s">
        <v>563</v>
      </c>
      <c r="C3" s="298"/>
      <c r="D3" s="299"/>
    </row>
    <row r="4" spans="2:4" ht="16.5" thickBot="1" x14ac:dyDescent="0.3">
      <c r="B4" s="117" t="s">
        <v>564</v>
      </c>
      <c r="C4" s="118" t="s">
        <v>573</v>
      </c>
      <c r="D4" s="119" t="s">
        <v>571</v>
      </c>
    </row>
    <row r="5" spans="2:4" ht="15.75" x14ac:dyDescent="0.25">
      <c r="B5" s="120" t="s">
        <v>565</v>
      </c>
      <c r="C5" s="121">
        <v>36891298.348617435</v>
      </c>
      <c r="D5" s="122">
        <v>81957749.359381527</v>
      </c>
    </row>
    <row r="6" spans="2:4" ht="15.75" x14ac:dyDescent="0.25">
      <c r="B6" s="123" t="s">
        <v>71</v>
      </c>
      <c r="C6" s="124">
        <v>28456898.824287917</v>
      </c>
      <c r="D6" s="80">
        <v>60560603.349952117</v>
      </c>
    </row>
    <row r="7" spans="2:4" ht="15.75" x14ac:dyDescent="0.25">
      <c r="B7" s="123" t="s">
        <v>566</v>
      </c>
      <c r="C7" s="97"/>
      <c r="D7" s="7"/>
    </row>
    <row r="8" spans="2:4" ht="15.75" x14ac:dyDescent="0.25">
      <c r="B8" s="178" t="s">
        <v>737</v>
      </c>
      <c r="C8" s="124">
        <v>12761523.996445086</v>
      </c>
      <c r="D8" s="80">
        <v>27489849.594730999</v>
      </c>
    </row>
    <row r="9" spans="2:4" ht="15.75" x14ac:dyDescent="0.25">
      <c r="B9" s="178" t="s">
        <v>738</v>
      </c>
      <c r="C9" s="124">
        <v>12798558.342062833</v>
      </c>
      <c r="D9" s="80">
        <v>18562428.25093912</v>
      </c>
    </row>
    <row r="10" spans="2:4" ht="15.75" x14ac:dyDescent="0.25">
      <c r="B10" s="123" t="s">
        <v>784</v>
      </c>
      <c r="C10" s="124">
        <f>'Railroad O&amp;M'!F30</f>
        <v>497008.95712365391</v>
      </c>
      <c r="D10" s="80">
        <f>'Railroad O&amp;M'!E29</f>
        <v>940000</v>
      </c>
    </row>
    <row r="11" spans="2:4" s="167" customFormat="1" ht="15.75" x14ac:dyDescent="0.25">
      <c r="B11" s="123" t="s">
        <v>687</v>
      </c>
      <c r="C11" s="124">
        <f>'Agglomeration Economics'!G31</f>
        <v>58166456.425098211</v>
      </c>
      <c r="D11" s="80">
        <f>'Agglomeration Economics'!F30</f>
        <v>103350153.15713808</v>
      </c>
    </row>
    <row r="12" spans="2:4" ht="15.75" x14ac:dyDescent="0.25">
      <c r="B12" s="123" t="s">
        <v>572</v>
      </c>
      <c r="C12" s="124">
        <f>'Railroad Safety'!D76</f>
        <v>107204.86660707102</v>
      </c>
      <c r="D12" s="80">
        <f>'Railroad Safety'!D75</f>
        <v>207684.02172487997</v>
      </c>
    </row>
    <row r="13" spans="2:4" ht="15.75" x14ac:dyDescent="0.25">
      <c r="B13" s="123" t="s">
        <v>684</v>
      </c>
      <c r="C13" s="124">
        <f>'Mortality Reduction Benefit'!H29</f>
        <v>9255.6731735436533</v>
      </c>
      <c r="D13" s="80">
        <f>'Mortality Reduction Benefit'!G28</f>
        <v>17473.400799999999</v>
      </c>
    </row>
    <row r="14" spans="2:4" ht="16.5" thickBot="1" x14ac:dyDescent="0.3">
      <c r="B14" s="125" t="s">
        <v>567</v>
      </c>
      <c r="C14" s="126">
        <v>893347.01999347482</v>
      </c>
      <c r="D14" s="127">
        <v>1686512.7784175768</v>
      </c>
    </row>
    <row r="15" spans="2:4" ht="16.5" thickBot="1" x14ac:dyDescent="0.3">
      <c r="B15" s="128" t="s">
        <v>568</v>
      </c>
      <c r="C15" s="129">
        <f>SUM(C5:C14)</f>
        <v>150581552.45340925</v>
      </c>
      <c r="D15" s="130">
        <f>SUM(D5:D14)</f>
        <v>294772453.91308433</v>
      </c>
    </row>
    <row r="16" spans="2:4" ht="16.5" thickBot="1" x14ac:dyDescent="0.3">
      <c r="B16" s="128" t="s">
        <v>569</v>
      </c>
      <c r="C16" s="129">
        <f>'O&amp;M Costs'!O16</f>
        <v>44538036</v>
      </c>
      <c r="D16" s="130">
        <v>58572215</v>
      </c>
    </row>
    <row r="17" spans="1:4" ht="16.5" thickBot="1" x14ac:dyDescent="0.3">
      <c r="B17" s="181" t="s">
        <v>570</v>
      </c>
      <c r="C17" s="131">
        <f>C15/C16</f>
        <v>3.3809652597480779</v>
      </c>
      <c r="D17" s="132">
        <f>D15/D16</f>
        <v>5.0326328603602297</v>
      </c>
    </row>
    <row r="18" spans="1:4" ht="15.75" x14ac:dyDescent="0.25">
      <c r="A18" s="97"/>
      <c r="B18" s="104" t="s">
        <v>739</v>
      </c>
      <c r="C18" s="167"/>
      <c r="D18" s="167"/>
    </row>
  </sheetData>
  <mergeCells count="1">
    <mergeCell ref="B3:D3"/>
  </mergeCells>
  <pageMargins left="0.7" right="0.7" top="0.75" bottom="0.75" header="0.3" footer="0.3"/>
  <pageSetup scale="8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CF2C-D121-48E8-B15D-B97AB2573586}">
  <dimension ref="A1:M41"/>
  <sheetViews>
    <sheetView workbookViewId="0">
      <selection activeCell="K30" sqref="K30"/>
    </sheetView>
  </sheetViews>
  <sheetFormatPr defaultRowHeight="15" x14ac:dyDescent="0.25"/>
  <cols>
    <col min="1" max="1" width="47.28515625" customWidth="1"/>
    <col min="2" max="2" width="15.5703125" customWidth="1"/>
    <col min="3" max="3" width="16.85546875" customWidth="1"/>
    <col min="4" max="4" width="14.28515625" customWidth="1"/>
    <col min="5" max="5" width="28.5703125" customWidth="1"/>
    <col min="6" max="6" width="18.42578125" customWidth="1"/>
    <col min="7" max="7" width="19.140625" customWidth="1"/>
    <col min="8" max="8" width="18.28515625" customWidth="1"/>
    <col min="9" max="9" width="20" customWidth="1"/>
    <col min="10" max="10" width="13.28515625" bestFit="1" customWidth="1"/>
    <col min="11" max="11" width="11.5703125" bestFit="1" customWidth="1"/>
    <col min="12" max="12" width="12.42578125" customWidth="1"/>
    <col min="13" max="13" width="12.28515625" customWidth="1"/>
  </cols>
  <sheetData>
    <row r="1" spans="1:13" x14ac:dyDescent="0.25">
      <c r="A1" s="12" t="s">
        <v>731</v>
      </c>
      <c r="C1" s="26" t="s">
        <v>671</v>
      </c>
      <c r="D1" s="26" t="s">
        <v>672</v>
      </c>
      <c r="F1" s="169" t="s">
        <v>14</v>
      </c>
      <c r="G1" s="169" t="s">
        <v>15</v>
      </c>
      <c r="J1" s="238" t="s">
        <v>1</v>
      </c>
      <c r="K1" s="238" t="s">
        <v>2</v>
      </c>
      <c r="L1" s="238" t="s">
        <v>3</v>
      </c>
      <c r="M1" s="238" t="s">
        <v>34</v>
      </c>
    </row>
    <row r="2" spans="1:13" x14ac:dyDescent="0.25">
      <c r="A2" t="s">
        <v>73</v>
      </c>
      <c r="B2" s="27">
        <v>7830</v>
      </c>
      <c r="C2" s="30">
        <v>26332.959660297245</v>
      </c>
      <c r="D2" s="30">
        <v>18630.185901459852</v>
      </c>
      <c r="E2" s="29" t="s">
        <v>59</v>
      </c>
      <c r="F2" s="30">
        <v>26332.959660297245</v>
      </c>
      <c r="G2" s="30">
        <v>18630.185901459852</v>
      </c>
      <c r="J2">
        <v>2022</v>
      </c>
      <c r="K2">
        <v>1</v>
      </c>
      <c r="L2" s="1">
        <v>0</v>
      </c>
      <c r="M2" s="1"/>
    </row>
    <row r="3" spans="1:13" x14ac:dyDescent="0.25">
      <c r="A3" t="s">
        <v>136</v>
      </c>
      <c r="B3" s="27">
        <v>1979</v>
      </c>
      <c r="C3" s="32">
        <f>C2*(B3/B2)</f>
        <v>6655.546253860568</v>
      </c>
      <c r="D3" s="32">
        <f>D2*(B3/B2)</f>
        <v>4708.7021582361494</v>
      </c>
      <c r="E3" s="29"/>
      <c r="J3">
        <v>2023</v>
      </c>
      <c r="K3">
        <v>2</v>
      </c>
      <c r="L3" s="1">
        <v>0</v>
      </c>
      <c r="M3" s="1"/>
    </row>
    <row r="4" spans="1:13" x14ac:dyDescent="0.25">
      <c r="A4" t="s">
        <v>137</v>
      </c>
      <c r="B4" s="27">
        <v>1433</v>
      </c>
      <c r="C4" s="32">
        <f>C2*(B4/B2)</f>
        <v>4819.30155724214</v>
      </c>
      <c r="D4" s="32">
        <f>D2*(B4/B2)</f>
        <v>3409.5857467167266</v>
      </c>
      <c r="E4" s="29" t="s">
        <v>125</v>
      </c>
      <c r="F4" s="26">
        <v>31600</v>
      </c>
      <c r="G4" s="26">
        <v>16900</v>
      </c>
      <c r="J4">
        <v>2024</v>
      </c>
      <c r="K4">
        <v>3</v>
      </c>
      <c r="L4" s="1">
        <f>G21+I21</f>
        <v>1951434.1801511466</v>
      </c>
      <c r="M4" s="1">
        <f>L4/(1.07^2)</f>
        <v>1704458.1886200949</v>
      </c>
    </row>
    <row r="5" spans="1:13" x14ac:dyDescent="0.25">
      <c r="A5" t="s">
        <v>117</v>
      </c>
      <c r="B5" s="27">
        <f>B2-(B3+B4)</f>
        <v>4418</v>
      </c>
      <c r="C5" s="32">
        <f>C2-(C3+C4)</f>
        <v>14858.111849194538</v>
      </c>
      <c r="D5" s="32">
        <f>D2-(D3+D4)</f>
        <v>10511.897996506976</v>
      </c>
      <c r="J5">
        <v>2025</v>
      </c>
      <c r="K5">
        <v>4</v>
      </c>
      <c r="L5" s="1">
        <f>G21+(I21*2)</f>
        <v>1951821.2197083905</v>
      </c>
      <c r="M5" s="1">
        <f>L5/(1.07^3)</f>
        <v>1593267.5177184723</v>
      </c>
    </row>
    <row r="6" spans="1:13" x14ac:dyDescent="0.25">
      <c r="A6" t="s">
        <v>138</v>
      </c>
      <c r="B6" s="33">
        <v>0.15937999999999999</v>
      </c>
      <c r="E6" s="29" t="s">
        <v>113</v>
      </c>
      <c r="F6" s="31">
        <f>F2/F4</f>
        <v>0.83332150823725459</v>
      </c>
      <c r="G6" s="31">
        <f>G2/G4</f>
        <v>1.1023778639917072</v>
      </c>
      <c r="J6">
        <v>2026</v>
      </c>
      <c r="K6">
        <v>5</v>
      </c>
      <c r="L6" s="1">
        <f>$G$21+($I$21*3)</f>
        <v>1952208.2592656345</v>
      </c>
      <c r="M6" s="1">
        <f>L6/(1.07^4)</f>
        <v>1489330.3339133863</v>
      </c>
    </row>
    <row r="7" spans="1:13" x14ac:dyDescent="0.25">
      <c r="A7" t="s">
        <v>139</v>
      </c>
      <c r="B7" s="33">
        <f>B2/16900</f>
        <v>0.46331360946745564</v>
      </c>
      <c r="E7" s="29" t="s">
        <v>114</v>
      </c>
      <c r="F7" s="26" t="s">
        <v>160</v>
      </c>
      <c r="G7" s="26" t="s">
        <v>115</v>
      </c>
      <c r="J7">
        <v>2027</v>
      </c>
      <c r="K7">
        <v>6</v>
      </c>
      <c r="L7" s="1">
        <f>$G$21+($I$21*4)</f>
        <v>1952595.2988228784</v>
      </c>
      <c r="M7" s="1">
        <f>L7/(1.07^5)</f>
        <v>1392173.4621854958</v>
      </c>
    </row>
    <row r="8" spans="1:13" x14ac:dyDescent="0.25">
      <c r="A8" t="s">
        <v>33</v>
      </c>
      <c r="B8" s="33">
        <v>2.1930272068141901</v>
      </c>
      <c r="E8" s="29" t="s">
        <v>144</v>
      </c>
      <c r="F8" s="31">
        <f>B16*0.75</f>
        <v>32.0625</v>
      </c>
      <c r="G8" s="31">
        <f>B16*0.66</f>
        <v>28.215</v>
      </c>
      <c r="J8">
        <v>2028</v>
      </c>
      <c r="K8">
        <v>7</v>
      </c>
      <c r="L8" s="1">
        <f>$G$21+($I$21*5)</f>
        <v>1952982.3383801223</v>
      </c>
      <c r="M8" s="1">
        <f>L8/(1.07^6)</f>
        <v>1301354.5944305835</v>
      </c>
    </row>
    <row r="9" spans="1:13" x14ac:dyDescent="0.25">
      <c r="A9" t="s">
        <v>140</v>
      </c>
      <c r="B9" s="27">
        <v>1.8839999999999999</v>
      </c>
      <c r="E9" s="29" t="s">
        <v>145</v>
      </c>
      <c r="F9" s="31">
        <f>B16*0.83</f>
        <v>35.482500000000002</v>
      </c>
      <c r="G9" s="31">
        <f>B16*0.7</f>
        <v>29.924999999999997</v>
      </c>
      <c r="J9">
        <v>2029</v>
      </c>
      <c r="K9">
        <v>8</v>
      </c>
      <c r="L9" s="1">
        <f>$G$21+($I$21*6)</f>
        <v>1953369.3779373663</v>
      </c>
      <c r="M9" s="1">
        <f>L9/(1.07^7)</f>
        <v>1216460.2759157591</v>
      </c>
    </row>
    <row r="10" spans="1:13" x14ac:dyDescent="0.25">
      <c r="A10" t="s">
        <v>141</v>
      </c>
      <c r="B10" s="11">
        <f>B8/(G8/60)</f>
        <v>4.6635347300673899</v>
      </c>
      <c r="J10">
        <v>2030</v>
      </c>
      <c r="K10">
        <v>9</v>
      </c>
      <c r="L10" s="1">
        <f>$G$21+($I$21*7)</f>
        <v>1953756.4174946102</v>
      </c>
      <c r="M10" s="1">
        <f>L10/(1.07^8)</f>
        <v>1137104.0230842354</v>
      </c>
    </row>
    <row r="11" spans="1:13" x14ac:dyDescent="0.25">
      <c r="A11" t="s">
        <v>142</v>
      </c>
      <c r="B11" s="11">
        <f>B9/(F8/60)</f>
        <v>3.525614035087719</v>
      </c>
      <c r="F11" t="s">
        <v>148</v>
      </c>
      <c r="G11" t="s">
        <v>149</v>
      </c>
      <c r="H11" t="s">
        <v>7</v>
      </c>
      <c r="J11">
        <v>2031</v>
      </c>
      <c r="K11">
        <v>10</v>
      </c>
      <c r="L11" s="1">
        <f>$G$21+($I$21*8)</f>
        <v>1954143.4570518541</v>
      </c>
      <c r="M11" s="1">
        <f>L11/(1.07^9)</f>
        <v>1062924.5641405403</v>
      </c>
    </row>
    <row r="12" spans="1:13" x14ac:dyDescent="0.25">
      <c r="A12" t="s">
        <v>143</v>
      </c>
      <c r="B12" s="11">
        <f>B8/(G9/60)</f>
        <v>4.3970470312063963</v>
      </c>
      <c r="E12" t="s">
        <v>0</v>
      </c>
      <c r="F12">
        <v>17.8</v>
      </c>
      <c r="G12">
        <v>1.67</v>
      </c>
      <c r="H12">
        <f>F12*G12</f>
        <v>29.725999999999999</v>
      </c>
      <c r="I12">
        <f>H12*(1-B6)</f>
        <v>24.988270119999999</v>
      </c>
      <c r="J12">
        <v>2032</v>
      </c>
      <c r="K12">
        <v>11</v>
      </c>
      <c r="L12" s="1">
        <f>$G$21+($I$21*9)</f>
        <v>1954530.496609098</v>
      </c>
      <c r="M12" s="1">
        <f>L12/(1.07^10)</f>
        <v>993584.19440695341</v>
      </c>
    </row>
    <row r="13" spans="1:13" x14ac:dyDescent="0.25">
      <c r="A13" t="s">
        <v>677</v>
      </c>
      <c r="B13" s="11">
        <f>B9/(F9/60)</f>
        <v>3.1857958148383005</v>
      </c>
      <c r="J13">
        <v>2033</v>
      </c>
      <c r="K13">
        <v>12</v>
      </c>
      <c r="L13" s="1">
        <f>$G$21+($I$21*10)</f>
        <v>1954917.536166342</v>
      </c>
      <c r="M13" s="1">
        <f>L13/(1.07^11)</f>
        <v>928767.23896439851</v>
      </c>
    </row>
    <row r="14" spans="1:13" x14ac:dyDescent="0.25">
      <c r="A14" t="s">
        <v>146</v>
      </c>
      <c r="B14" s="11">
        <f>B8/(B16/60)</f>
        <v>3.0779329218444773</v>
      </c>
      <c r="E14" t="s">
        <v>150</v>
      </c>
      <c r="F14" s="29">
        <v>32</v>
      </c>
      <c r="G14" s="29">
        <v>1</v>
      </c>
      <c r="H14" s="29">
        <f>G14*F14</f>
        <v>32</v>
      </c>
      <c r="I14">
        <f>H14*0.1483</f>
        <v>4.7455999999999996</v>
      </c>
      <c r="J14">
        <v>2034</v>
      </c>
      <c r="K14">
        <v>13</v>
      </c>
      <c r="L14" s="1">
        <f>$G$21+($I$21*11)</f>
        <v>1955304.5757235859</v>
      </c>
      <c r="M14" s="1">
        <f>L14/(1.07^12)</f>
        <v>868178.61557940405</v>
      </c>
    </row>
    <row r="15" spans="1:13" x14ac:dyDescent="0.25">
      <c r="B15" s="11"/>
      <c r="E15" t="s">
        <v>151</v>
      </c>
      <c r="F15" s="29">
        <v>33.6</v>
      </c>
      <c r="G15">
        <v>1</v>
      </c>
      <c r="H15">
        <f>F15*G15</f>
        <v>33.6</v>
      </c>
      <c r="I15">
        <f>H15*0.0111</f>
        <v>0.37296000000000001</v>
      </c>
      <c r="J15">
        <v>2035</v>
      </c>
      <c r="K15">
        <v>14</v>
      </c>
      <c r="L15" s="1">
        <f>$G$21+($I$21*12)</f>
        <v>1955691.6152808298</v>
      </c>
      <c r="M15" s="1">
        <f>L15/(1.07^13)</f>
        <v>811542.49137525191</v>
      </c>
    </row>
    <row r="16" spans="1:13" x14ac:dyDescent="0.25">
      <c r="A16" t="s">
        <v>147</v>
      </c>
      <c r="B16" s="11">
        <v>42.75</v>
      </c>
      <c r="H16" t="s">
        <v>162</v>
      </c>
      <c r="I16">
        <f>SUM(I12:I15)</f>
        <v>30.106830119999998</v>
      </c>
      <c r="J16">
        <v>2036</v>
      </c>
      <c r="K16">
        <v>15</v>
      </c>
      <c r="L16" s="1">
        <f>$G$21+($I$21*13)</f>
        <v>1956078.654838074</v>
      </c>
      <c r="M16" s="1">
        <f>L16/(1.07^14)</f>
        <v>758601.02713218203</v>
      </c>
    </row>
    <row r="17" spans="1:13" x14ac:dyDescent="0.25">
      <c r="A17" t="s">
        <v>126</v>
      </c>
      <c r="B17" s="11">
        <v>45</v>
      </c>
      <c r="F17" s="300" t="s">
        <v>10</v>
      </c>
      <c r="G17" s="300"/>
      <c r="H17" s="300" t="s">
        <v>11</v>
      </c>
      <c r="I17" s="300"/>
      <c r="J17">
        <v>2037</v>
      </c>
      <c r="K17">
        <v>16</v>
      </c>
      <c r="L17" s="1">
        <f>$G$21+($I$21*14)</f>
        <v>1956465.6943953179</v>
      </c>
      <c r="M17" s="1">
        <f>L17/(1.07^15)</f>
        <v>709113.20350040821</v>
      </c>
    </row>
    <row r="18" spans="1:13" x14ac:dyDescent="0.25">
      <c r="B18" s="11"/>
      <c r="F18" t="s">
        <v>6</v>
      </c>
      <c r="G18" t="s">
        <v>5</v>
      </c>
      <c r="H18" t="s">
        <v>6</v>
      </c>
      <c r="I18" t="s">
        <v>5</v>
      </c>
      <c r="J18">
        <v>2038</v>
      </c>
      <c r="K18">
        <v>17</v>
      </c>
      <c r="L18" s="1">
        <f>$G$21+($I$21*15)</f>
        <v>1956852.7339525619</v>
      </c>
      <c r="M18" s="1">
        <f>L18/(1.07^16)</f>
        <v>662853.72378259397</v>
      </c>
    </row>
    <row r="19" spans="1:13" x14ac:dyDescent="0.25">
      <c r="A19" t="s">
        <v>135</v>
      </c>
      <c r="B19" s="32">
        <f>B2+(C21*2)</f>
        <v>9310.2367728237805</v>
      </c>
      <c r="E19" t="s">
        <v>124</v>
      </c>
      <c r="F19" s="2">
        <f>((B3+(C23*2))+((B4+(C22*2))*(B10-B11)))/60</f>
        <v>71.533857765482196</v>
      </c>
      <c r="G19" s="3">
        <f>(F19*H15)*365</f>
        <v>877291.23163587367</v>
      </c>
      <c r="H19" s="2">
        <f>(((D22+D23)+ ((C22 - D22)/2)+(C23 - D23)/2))*(B10-B11)/60</f>
        <v>4.8434212627679027</v>
      </c>
      <c r="I19" s="3">
        <f>H19*H15</f>
        <v>162.73895442900155</v>
      </c>
      <c r="J19">
        <v>2039</v>
      </c>
      <c r="K19">
        <v>18</v>
      </c>
      <c r="L19" s="1">
        <f>$G$21+($I$21*16)</f>
        <v>1957239.7735098058</v>
      </c>
      <c r="M19" s="1">
        <f>L19/(1.07^17)</f>
        <v>619611.98829097976</v>
      </c>
    </row>
    <row r="20" spans="1:13" x14ac:dyDescent="0.25">
      <c r="B20" s="27" t="s">
        <v>8</v>
      </c>
      <c r="C20" s="27" t="s">
        <v>678</v>
      </c>
      <c r="D20" s="34" t="s">
        <v>679</v>
      </c>
      <c r="E20" t="s">
        <v>123</v>
      </c>
      <c r="F20" s="2">
        <f>(B5+(C24*2))/60</f>
        <v>87.553482465592708</v>
      </c>
      <c r="G20" s="3">
        <f>(F20*H15)*365</f>
        <v>1073755.908958029</v>
      </c>
      <c r="H20" s="2">
        <f>((D24 + (C24-D24)/2)*(B12-B13))/60</f>
        <v>6.6756131790160094</v>
      </c>
      <c r="I20" s="3">
        <f>H20*H15</f>
        <v>224.30060281493792</v>
      </c>
      <c r="J20">
        <v>2040</v>
      </c>
      <c r="K20">
        <v>19</v>
      </c>
      <c r="L20" s="1">
        <f>$G$21+($I$21*17)</f>
        <v>1957626.8130670497</v>
      </c>
      <c r="M20" s="1">
        <f>L20/(1.07^18)</f>
        <v>579191.13561018673</v>
      </c>
    </row>
    <row r="21" spans="1:13" x14ac:dyDescent="0.25">
      <c r="A21" t="s">
        <v>134</v>
      </c>
      <c r="B21" s="32">
        <f>C2-B2</f>
        <v>18502.959660297245</v>
      </c>
      <c r="C21" s="32">
        <f>B21/25</f>
        <v>740.11838641188979</v>
      </c>
      <c r="D21" s="32">
        <f>(D2-B2)/25</f>
        <v>432.00743605839409</v>
      </c>
      <c r="F21" s="2">
        <f>SUM(F19:F20)</f>
        <v>159.0873402310749</v>
      </c>
      <c r="G21" s="3">
        <f>SUM(G19:G20)</f>
        <v>1951047.1405939027</v>
      </c>
      <c r="H21" s="2">
        <f>SUM(H19:H20)</f>
        <v>11.519034441783912</v>
      </c>
      <c r="I21" s="3">
        <f>SUM(I19:I20)</f>
        <v>387.0395572439395</v>
      </c>
      <c r="J21">
        <v>2041</v>
      </c>
      <c r="K21">
        <v>20</v>
      </c>
      <c r="L21" s="1">
        <f>$G$21+($I$21*18)</f>
        <v>1958013.8526242936</v>
      </c>
      <c r="M21" s="1">
        <f>L21/(1.07^19)</f>
        <v>541407.14640127495</v>
      </c>
    </row>
    <row r="22" spans="1:13" x14ac:dyDescent="0.25">
      <c r="A22" t="s">
        <v>110</v>
      </c>
      <c r="B22" s="32">
        <f>B21*(B4/B2)</f>
        <v>3386.3015572421396</v>
      </c>
      <c r="C22" s="32">
        <f>B22/25</f>
        <v>135.45206228968559</v>
      </c>
      <c r="D22" s="32">
        <f>(D4-B4)/25</f>
        <v>79.063429868669061</v>
      </c>
      <c r="F22" s="2"/>
      <c r="G22" s="3"/>
      <c r="H22" s="2"/>
      <c r="I22" s="3"/>
      <c r="J22">
        <v>2042</v>
      </c>
      <c r="K22">
        <v>21</v>
      </c>
      <c r="L22" s="1">
        <f>$G$21+($I$21*19)</f>
        <v>1958400.8921815376</v>
      </c>
      <c r="M22" s="1">
        <f>L22/(1.07^20)</f>
        <v>506088.00566734374</v>
      </c>
    </row>
    <row r="23" spans="1:13" x14ac:dyDescent="0.25">
      <c r="A23" t="s">
        <v>111</v>
      </c>
      <c r="B23" s="32">
        <f>B21*(B3/$B$2)</f>
        <v>4676.546253860568</v>
      </c>
      <c r="C23" s="32">
        <f>B23/25</f>
        <v>187.06185015442273</v>
      </c>
      <c r="D23" s="32">
        <f>(D3-B3)/25</f>
        <v>109.18808632944598</v>
      </c>
      <c r="F23" s="2"/>
      <c r="G23" s="3"/>
      <c r="H23" s="2"/>
      <c r="I23" s="3"/>
      <c r="J23">
        <v>2043</v>
      </c>
      <c r="K23">
        <v>22</v>
      </c>
      <c r="L23" s="1">
        <f>$G$21+($I$21*20)</f>
        <v>1958787.9317387815</v>
      </c>
      <c r="M23" s="1">
        <f>L23/(1.07^21)</f>
        <v>473072.91966708057</v>
      </c>
    </row>
    <row r="24" spans="1:13" x14ac:dyDescent="0.25">
      <c r="A24" t="s">
        <v>112</v>
      </c>
      <c r="B24" s="32">
        <f>B21-(B22+B23)</f>
        <v>10440.111849194538</v>
      </c>
      <c r="C24" s="32">
        <f>B24/25</f>
        <v>417.60447396778153</v>
      </c>
      <c r="D24" s="32">
        <f>(D5-B5)/25</f>
        <v>243.75591986027902</v>
      </c>
      <c r="F24" s="2"/>
      <c r="G24" s="3"/>
      <c r="H24" s="2"/>
      <c r="I24" s="3"/>
      <c r="J24">
        <v>2044</v>
      </c>
      <c r="K24">
        <v>23</v>
      </c>
      <c r="L24" s="1">
        <f>$G$21+($I$21*21)</f>
        <v>1959174.9712960254</v>
      </c>
      <c r="M24" s="1">
        <f>L24/(1.07^22)</f>
        <v>442211.58391144092</v>
      </c>
    </row>
    <row r="25" spans="1:13" ht="15.75" thickBot="1" x14ac:dyDescent="0.3">
      <c r="B25" s="4"/>
      <c r="C25" s="4"/>
      <c r="F25" s="2"/>
      <c r="H25" s="2"/>
      <c r="I25" s="3"/>
      <c r="J25">
        <v>2045</v>
      </c>
      <c r="K25">
        <v>24</v>
      </c>
      <c r="L25" s="1">
        <f>$G$21+($I$21*22)</f>
        <v>1959562.0108532694</v>
      </c>
      <c r="M25" s="1">
        <f>L25/(1.07^23)</f>
        <v>413363.4989111739</v>
      </c>
    </row>
    <row r="26" spans="1:13" ht="15.75" thickBot="1" x14ac:dyDescent="0.3">
      <c r="C26" s="4"/>
      <c r="F26" s="2"/>
      <c r="J26" s="258" t="s">
        <v>743</v>
      </c>
      <c r="K26" s="258"/>
      <c r="L26" s="272">
        <f>SUM(L4:L25)</f>
        <v>43020958.101048574</v>
      </c>
      <c r="M26" s="271">
        <f>SUM(M2:M25)</f>
        <v>20204659.733209234</v>
      </c>
    </row>
    <row r="27" spans="1:13" x14ac:dyDescent="0.25">
      <c r="A27" t="s">
        <v>13</v>
      </c>
      <c r="L27" s="1"/>
      <c r="M27" s="1"/>
    </row>
    <row r="28" spans="1:13" x14ac:dyDescent="0.25">
      <c r="A28" s="174" t="s">
        <v>673</v>
      </c>
    </row>
    <row r="29" spans="1:13" x14ac:dyDescent="0.25">
      <c r="A29" s="24" t="s">
        <v>674</v>
      </c>
    </row>
    <row r="30" spans="1:13" ht="17.25" x14ac:dyDescent="0.25">
      <c r="A30" s="5" t="s">
        <v>675</v>
      </c>
    </row>
    <row r="31" spans="1:13" x14ac:dyDescent="0.25">
      <c r="A31" t="s">
        <v>676</v>
      </c>
      <c r="G31" s="4"/>
      <c r="H31" s="4"/>
    </row>
    <row r="32" spans="1:13" x14ac:dyDescent="0.25">
      <c r="G32" s="4"/>
      <c r="H32" s="4"/>
    </row>
    <row r="33" spans="1:8" x14ac:dyDescent="0.25">
      <c r="A33" t="s">
        <v>37</v>
      </c>
      <c r="G33" s="4"/>
      <c r="H33" s="4"/>
    </row>
    <row r="34" spans="1:8" x14ac:dyDescent="0.25">
      <c r="A34" t="s">
        <v>553</v>
      </c>
      <c r="G34" s="4"/>
      <c r="H34" s="4"/>
    </row>
    <row r="35" spans="1:8" x14ac:dyDescent="0.25">
      <c r="A35" t="s">
        <v>38</v>
      </c>
      <c r="G35" s="4"/>
      <c r="H35" s="4"/>
    </row>
    <row r="36" spans="1:8" x14ac:dyDescent="0.25">
      <c r="A36" t="s">
        <v>39</v>
      </c>
      <c r="G36" s="4"/>
      <c r="H36" s="4"/>
    </row>
    <row r="37" spans="1:8" x14ac:dyDescent="0.25">
      <c r="G37" s="4"/>
      <c r="H37" s="4"/>
    </row>
    <row r="38" spans="1:8" x14ac:dyDescent="0.25">
      <c r="A38" t="s">
        <v>680</v>
      </c>
      <c r="G38" s="4"/>
      <c r="H38" s="4"/>
    </row>
    <row r="39" spans="1:8" x14ac:dyDescent="0.25">
      <c r="A39" t="s">
        <v>681</v>
      </c>
      <c r="G39" s="4"/>
      <c r="H39" s="4"/>
    </row>
    <row r="40" spans="1:8" x14ac:dyDescent="0.25">
      <c r="G40" s="4"/>
      <c r="H40" s="4"/>
    </row>
    <row r="41" spans="1:8" x14ac:dyDescent="0.25">
      <c r="G41" s="4"/>
      <c r="H41" s="4"/>
    </row>
  </sheetData>
  <mergeCells count="2">
    <mergeCell ref="F17:G17"/>
    <mergeCell ref="H17:I1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FF561-9F28-4C2B-82D9-040EBAA43EDC}">
  <dimension ref="A1:O55"/>
  <sheetViews>
    <sheetView topLeftCell="B1" workbookViewId="0">
      <selection activeCell="F39" sqref="F39"/>
    </sheetView>
  </sheetViews>
  <sheetFormatPr defaultRowHeight="15" x14ac:dyDescent="0.25"/>
  <cols>
    <col min="1" max="1" width="33.140625" customWidth="1"/>
    <col min="2" max="2" width="14.28515625" bestFit="1" customWidth="1"/>
    <col min="3" max="3" width="15.7109375" customWidth="1"/>
    <col min="4" max="4" width="17.7109375" customWidth="1"/>
    <col min="5" max="5" width="19.5703125" customWidth="1"/>
    <col min="6" max="6" width="17.5703125" bestFit="1" customWidth="1"/>
    <col min="7" max="7" width="13.85546875" customWidth="1"/>
    <col min="8" max="8" width="16.5703125" bestFit="1" customWidth="1"/>
    <col min="9" max="9" width="18.5703125" bestFit="1" customWidth="1"/>
    <col min="10" max="10" width="16.5703125" bestFit="1" customWidth="1"/>
    <col min="11" max="11" width="13.28515625" bestFit="1" customWidth="1"/>
    <col min="12" max="12" width="24.5703125" customWidth="1"/>
    <col min="13" max="13" width="19.42578125" bestFit="1" customWidth="1"/>
    <col min="14" max="14" width="20.42578125" bestFit="1" customWidth="1"/>
    <col min="15" max="15" width="13.28515625" bestFit="1" customWidth="1"/>
    <col min="16" max="16" width="20.42578125" bestFit="1" customWidth="1"/>
    <col min="17" max="17" width="20.85546875" bestFit="1" customWidth="1"/>
    <col min="18" max="18" width="20.42578125" bestFit="1" customWidth="1"/>
    <col min="20" max="20" width="15.7109375" customWidth="1"/>
  </cols>
  <sheetData>
    <row r="1" spans="1:14" x14ac:dyDescent="0.25">
      <c r="A1" t="s">
        <v>764</v>
      </c>
    </row>
    <row r="2" spans="1:14" x14ac:dyDescent="0.25">
      <c r="A2" s="240" t="s">
        <v>163</v>
      </c>
      <c r="B2" s="240" t="s">
        <v>164</v>
      </c>
      <c r="C2" s="240"/>
      <c r="D2" s="240" t="s">
        <v>183</v>
      </c>
      <c r="E2" s="240" t="s">
        <v>183</v>
      </c>
      <c r="F2" s="240" t="s">
        <v>183</v>
      </c>
      <c r="G2" s="240"/>
      <c r="H2" s="240"/>
      <c r="I2" s="240"/>
      <c r="J2" s="240"/>
      <c r="K2" s="240"/>
      <c r="L2" s="240"/>
      <c r="M2" s="240"/>
      <c r="N2" s="240"/>
    </row>
    <row r="3" spans="1:14" x14ac:dyDescent="0.25">
      <c r="A3" s="241" t="s">
        <v>165</v>
      </c>
      <c r="B3" s="241" t="s">
        <v>165</v>
      </c>
      <c r="C3" s="241" t="s">
        <v>166</v>
      </c>
      <c r="D3" s="241" t="s">
        <v>184</v>
      </c>
      <c r="E3" s="241" t="s">
        <v>186</v>
      </c>
      <c r="F3" s="241" t="s">
        <v>691</v>
      </c>
      <c r="G3" s="241" t="s">
        <v>1</v>
      </c>
      <c r="H3" s="241" t="s">
        <v>2</v>
      </c>
      <c r="I3" s="241" t="s">
        <v>724</v>
      </c>
      <c r="J3" s="241" t="s">
        <v>187</v>
      </c>
      <c r="K3" s="241" t="s">
        <v>1</v>
      </c>
      <c r="L3" s="241" t="s">
        <v>2</v>
      </c>
      <c r="M3" s="241" t="s">
        <v>725</v>
      </c>
      <c r="N3" s="241" t="s">
        <v>726</v>
      </c>
    </row>
    <row r="4" spans="1:14" x14ac:dyDescent="0.25">
      <c r="A4" s="251">
        <f>((M33*J40)/B32)/B33</f>
        <v>14.042116974971787</v>
      </c>
      <c r="B4" s="249">
        <f>((J41*M38)/B32)/B33</f>
        <v>19.444975415487242</v>
      </c>
      <c r="C4" s="249">
        <f>((J41*M39)/B32)*B33</f>
        <v>0.76864898454183261</v>
      </c>
      <c r="D4" s="252">
        <v>15800</v>
      </c>
      <c r="E4" s="252">
        <v>774700</v>
      </c>
      <c r="F4" s="242">
        <v>53</v>
      </c>
      <c r="G4" s="247">
        <v>2022</v>
      </c>
      <c r="H4" s="247">
        <v>1</v>
      </c>
      <c r="I4" s="252">
        <v>0</v>
      </c>
      <c r="J4" s="254"/>
      <c r="K4" s="247">
        <v>2022</v>
      </c>
      <c r="L4" s="247">
        <v>1</v>
      </c>
      <c r="M4" s="244">
        <v>0</v>
      </c>
      <c r="N4" s="244"/>
    </row>
    <row r="5" spans="1:14" x14ac:dyDescent="0.25">
      <c r="A5" s="249">
        <v>14.042116974971787</v>
      </c>
      <c r="B5" s="249">
        <v>19.444975415487242</v>
      </c>
      <c r="C5" s="249">
        <v>0.76864898454183261</v>
      </c>
      <c r="D5" s="252">
        <v>16000</v>
      </c>
      <c r="E5" s="252">
        <v>788100</v>
      </c>
      <c r="F5" s="242">
        <v>54</v>
      </c>
      <c r="G5" s="247">
        <v>2023</v>
      </c>
      <c r="H5" s="247">
        <v>2</v>
      </c>
      <c r="I5" s="252">
        <v>0</v>
      </c>
      <c r="J5" s="254"/>
      <c r="K5" s="247">
        <v>2023</v>
      </c>
      <c r="L5" s="247">
        <v>2</v>
      </c>
      <c r="M5" s="244">
        <v>0</v>
      </c>
      <c r="N5" s="244"/>
    </row>
    <row r="6" spans="1:14" x14ac:dyDescent="0.25">
      <c r="A6" s="249">
        <v>14.042116974971787</v>
      </c>
      <c r="B6" s="249">
        <v>19.444975415487242</v>
      </c>
      <c r="C6" s="249">
        <v>0.76864898454183261</v>
      </c>
      <c r="D6" s="252">
        <v>16200</v>
      </c>
      <c r="E6" s="252">
        <v>801700</v>
      </c>
      <c r="F6" s="242">
        <v>55</v>
      </c>
      <c r="G6" s="247">
        <v>2024</v>
      </c>
      <c r="H6" s="247">
        <v>3</v>
      </c>
      <c r="I6" s="252">
        <f t="shared" ref="I6:I27" si="0">((A5+B5)*D5)+(C5*E5)</f>
        <v>1141565.7429647627</v>
      </c>
      <c r="J6" s="254">
        <f>Emissions!I6/(1.07^2)</f>
        <v>997087.73077540635</v>
      </c>
      <c r="K6" s="247">
        <v>2024</v>
      </c>
      <c r="L6" s="247">
        <v>3</v>
      </c>
      <c r="M6" s="242">
        <f t="shared" ref="M6:M27" si="1">($K$44+$K$45)*F6</f>
        <v>694985.40081800637</v>
      </c>
      <c r="N6" s="245">
        <f>M6/1.03^2</f>
        <v>655090.39571873541</v>
      </c>
    </row>
    <row r="7" spans="1:14" x14ac:dyDescent="0.25">
      <c r="A7" s="249">
        <v>14.042116974971787</v>
      </c>
      <c r="B7" s="249">
        <v>19.444975415487242</v>
      </c>
      <c r="C7" s="249">
        <v>0.76864898454183261</v>
      </c>
      <c r="D7" s="252">
        <v>16500</v>
      </c>
      <c r="E7" s="252">
        <v>814500</v>
      </c>
      <c r="F7" s="242">
        <v>56</v>
      </c>
      <c r="G7" s="247">
        <v>2025</v>
      </c>
      <c r="H7" s="247">
        <v>4</v>
      </c>
      <c r="I7" s="252">
        <f t="shared" si="0"/>
        <v>1158716.7876326235</v>
      </c>
      <c r="J7" s="254">
        <f>Emissions!I7/(1.07^3)</f>
        <v>945858.05366229871</v>
      </c>
      <c r="K7" s="247">
        <v>2025</v>
      </c>
      <c r="L7" s="247">
        <v>4</v>
      </c>
      <c r="M7" s="242">
        <f t="shared" si="1"/>
        <v>707621.4990146975</v>
      </c>
      <c r="N7" s="245">
        <f>M7/1.03^3</f>
        <v>647573.91280228039</v>
      </c>
    </row>
    <row r="8" spans="1:14" x14ac:dyDescent="0.25">
      <c r="A8" s="249">
        <v>14.042116974971787</v>
      </c>
      <c r="B8" s="249">
        <v>19.444975415487242</v>
      </c>
      <c r="C8" s="249">
        <v>0.76864898454183261</v>
      </c>
      <c r="D8" s="252">
        <v>16800</v>
      </c>
      <c r="E8" s="252">
        <v>827400</v>
      </c>
      <c r="F8" s="242">
        <v>57</v>
      </c>
      <c r="G8" s="247">
        <v>2026</v>
      </c>
      <c r="H8" s="247">
        <v>5</v>
      </c>
      <c r="I8" s="252">
        <f t="shared" si="0"/>
        <v>1178601.6223518965</v>
      </c>
      <c r="J8" s="254">
        <f>Emissions!I8/(1.07^4)</f>
        <v>899149.53460370726</v>
      </c>
      <c r="K8" s="247">
        <v>2026</v>
      </c>
      <c r="L8" s="247">
        <v>5</v>
      </c>
      <c r="M8" s="242">
        <f t="shared" si="1"/>
        <v>720257.59721138852</v>
      </c>
      <c r="N8" s="245">
        <f>M8/1.03^4</f>
        <v>639939.546285194</v>
      </c>
    </row>
    <row r="9" spans="1:14" x14ac:dyDescent="0.25">
      <c r="A9" s="249">
        <v>14.042116974971787</v>
      </c>
      <c r="B9" s="249">
        <v>19.444975415487242</v>
      </c>
      <c r="C9" s="249">
        <v>0.76864898454183261</v>
      </c>
      <c r="D9" s="252">
        <v>17100</v>
      </c>
      <c r="E9" s="252">
        <v>840600</v>
      </c>
      <c r="F9" s="242">
        <v>58</v>
      </c>
      <c r="G9" s="247">
        <v>2027</v>
      </c>
      <c r="H9" s="247">
        <v>6</v>
      </c>
      <c r="I9" s="252">
        <f t="shared" si="0"/>
        <v>1198563.3219696239</v>
      </c>
      <c r="J9" s="254">
        <f>Emissions!I9/(1.07^5)</f>
        <v>854559.08380037604</v>
      </c>
      <c r="K9" s="247">
        <v>2027</v>
      </c>
      <c r="L9" s="247">
        <v>6</v>
      </c>
      <c r="M9" s="242">
        <f t="shared" si="1"/>
        <v>732893.69540807954</v>
      </c>
      <c r="N9" s="245">
        <f>M9/1.03^5</f>
        <v>632200.53967878129</v>
      </c>
    </row>
    <row r="10" spans="1:14" x14ac:dyDescent="0.25">
      <c r="A10" s="249">
        <v>14.042116974971787</v>
      </c>
      <c r="B10" s="249">
        <v>19.444975415487242</v>
      </c>
      <c r="C10" s="249">
        <v>0.76864898454183261</v>
      </c>
      <c r="D10" s="252">
        <v>17400</v>
      </c>
      <c r="E10" s="252">
        <v>854000</v>
      </c>
      <c r="F10" s="242">
        <v>60</v>
      </c>
      <c r="G10" s="247">
        <v>2028</v>
      </c>
      <c r="H10" s="247">
        <v>7</v>
      </c>
      <c r="I10" s="252">
        <f t="shared" si="0"/>
        <v>1218755.6162827138</v>
      </c>
      <c r="J10" s="254">
        <f>Emissions!I10/(1.07^6)</f>
        <v>812108.32764268771</v>
      </c>
      <c r="K10" s="247">
        <v>2028</v>
      </c>
      <c r="L10" s="247">
        <v>7</v>
      </c>
      <c r="M10" s="242">
        <f t="shared" si="1"/>
        <v>758165.89180146158</v>
      </c>
      <c r="N10" s="245">
        <f>M10/1.03^6</f>
        <v>634951.99833824707</v>
      </c>
    </row>
    <row r="11" spans="1:14" x14ac:dyDescent="0.25">
      <c r="A11" s="249">
        <v>14.042116974971787</v>
      </c>
      <c r="B11" s="249">
        <v>19.444975415487242</v>
      </c>
      <c r="C11" s="249">
        <v>0.76864898454183261</v>
      </c>
      <c r="D11" s="252">
        <v>17700</v>
      </c>
      <c r="E11" s="252">
        <v>867600</v>
      </c>
      <c r="F11" s="242">
        <v>61</v>
      </c>
      <c r="G11" s="247">
        <v>2029</v>
      </c>
      <c r="H11" s="247">
        <v>8</v>
      </c>
      <c r="I11" s="252">
        <f t="shared" si="0"/>
        <v>1239101.6403927121</v>
      </c>
      <c r="J11" s="254">
        <f>Emissions!I11/(1.07^7)</f>
        <v>771650.22672333487</v>
      </c>
      <c r="K11" s="247">
        <v>2029</v>
      </c>
      <c r="L11" s="247">
        <v>8</v>
      </c>
      <c r="M11" s="242">
        <f t="shared" si="1"/>
        <v>770801.9899981526</v>
      </c>
      <c r="N11" s="245">
        <f>M11/1.03^7</f>
        <v>626732.55499406252</v>
      </c>
    </row>
    <row r="12" spans="1:14" x14ac:dyDescent="0.25">
      <c r="A12" s="249">
        <v>14.042116974971787</v>
      </c>
      <c r="B12" s="249">
        <v>19.444975415487242</v>
      </c>
      <c r="C12" s="249">
        <v>0.76864898454183261</v>
      </c>
      <c r="D12" s="252">
        <v>18100</v>
      </c>
      <c r="E12" s="252">
        <v>867600</v>
      </c>
      <c r="F12" s="242">
        <v>62</v>
      </c>
      <c r="G12" s="247">
        <v>2030</v>
      </c>
      <c r="H12" s="247">
        <v>9</v>
      </c>
      <c r="I12" s="252">
        <f t="shared" si="0"/>
        <v>1259601.3942996189</v>
      </c>
      <c r="J12" s="254">
        <f>Emissions!I12/(1.07^8)</f>
        <v>733099.47960519511</v>
      </c>
      <c r="K12" s="247">
        <v>2030</v>
      </c>
      <c r="L12" s="247">
        <v>9</v>
      </c>
      <c r="M12" s="242">
        <f t="shared" si="1"/>
        <v>783438.08819484361</v>
      </c>
      <c r="N12" s="245">
        <f>M12/1.03^8</f>
        <v>618453.26133426523</v>
      </c>
    </row>
    <row r="13" spans="1:14" x14ac:dyDescent="0.25">
      <c r="A13" s="249">
        <v>14.042116974971787</v>
      </c>
      <c r="B13" s="249">
        <v>19.444975415487242</v>
      </c>
      <c r="C13" s="249">
        <v>0.76864898454183261</v>
      </c>
      <c r="D13" s="252">
        <v>18100</v>
      </c>
      <c r="E13" s="252">
        <v>867600</v>
      </c>
      <c r="F13" s="242">
        <v>63</v>
      </c>
      <c r="G13" s="247">
        <v>2031</v>
      </c>
      <c r="H13" s="247">
        <v>10</v>
      </c>
      <c r="I13" s="252">
        <f t="shared" si="0"/>
        <v>1272996.2312558023</v>
      </c>
      <c r="J13" s="254">
        <f>Emissions!I13/(1.07^9)</f>
        <v>692425.60436248418</v>
      </c>
      <c r="K13" s="247">
        <v>2031</v>
      </c>
      <c r="L13" s="247">
        <v>10</v>
      </c>
      <c r="M13" s="242">
        <f t="shared" si="1"/>
        <v>796074.18639153463</v>
      </c>
      <c r="N13" s="245">
        <f>M13/1.03^9</f>
        <v>610124.57663731137</v>
      </c>
    </row>
    <row r="14" spans="1:14" x14ac:dyDescent="0.25">
      <c r="A14" s="249">
        <v>14.042116974971787</v>
      </c>
      <c r="B14" s="249">
        <v>19.444975415487242</v>
      </c>
      <c r="C14" s="249">
        <v>0.76864898454183261</v>
      </c>
      <c r="D14" s="252">
        <v>18100</v>
      </c>
      <c r="E14" s="252">
        <v>867600</v>
      </c>
      <c r="F14" s="242">
        <v>64</v>
      </c>
      <c r="G14" s="247">
        <v>2032</v>
      </c>
      <c r="H14" s="247">
        <v>11</v>
      </c>
      <c r="I14" s="252">
        <f t="shared" si="0"/>
        <v>1272996.2312558023</v>
      </c>
      <c r="J14" s="254">
        <f>Emissions!I14/(1.07^10)</f>
        <v>647126.73304905067</v>
      </c>
      <c r="K14" s="247">
        <v>2032</v>
      </c>
      <c r="L14" s="247">
        <v>11</v>
      </c>
      <c r="M14" s="242">
        <f t="shared" si="1"/>
        <v>808710.28458822565</v>
      </c>
      <c r="N14" s="245">
        <f>M14/1.03^10</f>
        <v>601756.40167649754</v>
      </c>
    </row>
    <row r="15" spans="1:14" x14ac:dyDescent="0.25">
      <c r="A15" s="249">
        <v>14.042116974971787</v>
      </c>
      <c r="B15" s="249">
        <v>19.444975415487242</v>
      </c>
      <c r="C15" s="249">
        <v>0.76864898454183261</v>
      </c>
      <c r="D15" s="252">
        <v>18100</v>
      </c>
      <c r="E15" s="252">
        <v>867600</v>
      </c>
      <c r="F15" s="242">
        <v>65</v>
      </c>
      <c r="G15" s="247">
        <v>2033</v>
      </c>
      <c r="H15" s="247">
        <v>12</v>
      </c>
      <c r="I15" s="252">
        <f t="shared" si="0"/>
        <v>1272996.2312558023</v>
      </c>
      <c r="J15" s="254">
        <f>Emissions!I15/(1.07^11)</f>
        <v>604791.33929817809</v>
      </c>
      <c r="K15" s="247">
        <v>2033</v>
      </c>
      <c r="L15" s="247">
        <v>12</v>
      </c>
      <c r="M15" s="242">
        <f t="shared" si="1"/>
        <v>821346.38278491667</v>
      </c>
      <c r="N15" s="245">
        <f>M15/1.03^11</f>
        <v>593358.10238125513</v>
      </c>
    </row>
    <row r="16" spans="1:14" s="167" customFormat="1" x14ac:dyDescent="0.25">
      <c r="A16" s="249">
        <v>14.042116974971787</v>
      </c>
      <c r="B16" s="249">
        <v>19.444975415487242</v>
      </c>
      <c r="C16" s="249">
        <v>0.76864898454183261</v>
      </c>
      <c r="D16" s="252">
        <v>18100</v>
      </c>
      <c r="E16" s="252">
        <v>867600</v>
      </c>
      <c r="F16" s="242">
        <v>66</v>
      </c>
      <c r="G16" s="247">
        <v>2034</v>
      </c>
      <c r="H16" s="247">
        <v>13</v>
      </c>
      <c r="I16" s="252">
        <f t="shared" si="0"/>
        <v>1272996.2312558023</v>
      </c>
      <c r="J16" s="254">
        <f>Emissions!I16/(1.07^12)</f>
        <v>565225.55074596091</v>
      </c>
      <c r="K16" s="247">
        <v>2034</v>
      </c>
      <c r="L16" s="247">
        <v>13</v>
      </c>
      <c r="M16" s="242">
        <f t="shared" si="1"/>
        <v>833982.48098160769</v>
      </c>
      <c r="N16" s="245">
        <f>M16/1.03^12</f>
        <v>584938.53259391862</v>
      </c>
    </row>
    <row r="17" spans="1:15" x14ac:dyDescent="0.25">
      <c r="A17" s="249">
        <v>14.042116974971787</v>
      </c>
      <c r="B17" s="249">
        <v>19.444975415487242</v>
      </c>
      <c r="C17" s="249">
        <v>0.76864898454183261</v>
      </c>
      <c r="D17" s="252">
        <v>18100</v>
      </c>
      <c r="E17" s="252">
        <v>867600</v>
      </c>
      <c r="F17" s="242">
        <v>67</v>
      </c>
      <c r="G17" s="247">
        <v>2035</v>
      </c>
      <c r="H17" s="247">
        <v>14</v>
      </c>
      <c r="I17" s="252">
        <f t="shared" si="0"/>
        <v>1272996.2312558023</v>
      </c>
      <c r="J17" s="254">
        <f>Emissions!I17/(1.07^13)</f>
        <v>528248.17826725321</v>
      </c>
      <c r="K17" s="247">
        <v>2035</v>
      </c>
      <c r="L17" s="247">
        <v>14</v>
      </c>
      <c r="M17" s="242">
        <f t="shared" si="1"/>
        <v>846618.57917829871</v>
      </c>
      <c r="N17" s="245">
        <f>M17/1.03^13</f>
        <v>576506.05595458287</v>
      </c>
    </row>
    <row r="18" spans="1:15" x14ac:dyDescent="0.25">
      <c r="A18" s="249">
        <v>14.042116974971787</v>
      </c>
      <c r="B18" s="249">
        <v>19.444975415487242</v>
      </c>
      <c r="C18" s="249">
        <v>0.76864898454183261</v>
      </c>
      <c r="D18" s="252">
        <v>18100</v>
      </c>
      <c r="E18" s="252">
        <v>867600</v>
      </c>
      <c r="F18" s="242">
        <v>69</v>
      </c>
      <c r="G18" s="247">
        <v>2036</v>
      </c>
      <c r="H18" s="247">
        <v>15</v>
      </c>
      <c r="I18" s="252">
        <f t="shared" si="0"/>
        <v>1272996.2312558023</v>
      </c>
      <c r="J18" s="254">
        <f>Emissions!I18/(1.07^14)</f>
        <v>493689.88623107778</v>
      </c>
      <c r="K18" s="247">
        <v>2036</v>
      </c>
      <c r="L18" s="247">
        <v>15</v>
      </c>
      <c r="M18" s="242">
        <f t="shared" si="1"/>
        <v>871890.77557168074</v>
      </c>
      <c r="N18" s="245">
        <f>M18/1.03^14</f>
        <v>576422.51645944372</v>
      </c>
    </row>
    <row r="19" spans="1:15" x14ac:dyDescent="0.25">
      <c r="A19" s="249">
        <v>14.042116974971787</v>
      </c>
      <c r="B19" s="249">
        <v>19.444975415487242</v>
      </c>
      <c r="C19" s="249">
        <v>0.76864898454183261</v>
      </c>
      <c r="D19" s="252">
        <v>18100</v>
      </c>
      <c r="E19" s="252">
        <v>867600</v>
      </c>
      <c r="F19" s="242">
        <v>70</v>
      </c>
      <c r="G19" s="247">
        <v>2037</v>
      </c>
      <c r="H19" s="247">
        <v>16</v>
      </c>
      <c r="I19" s="252">
        <f t="shared" si="0"/>
        <v>1272996.2312558023</v>
      </c>
      <c r="J19" s="254">
        <f>Emissions!I19/(1.07^15)</f>
        <v>461392.41703839035</v>
      </c>
      <c r="K19" s="247">
        <v>2037</v>
      </c>
      <c r="L19" s="247">
        <v>16</v>
      </c>
      <c r="M19" s="242">
        <f t="shared" si="1"/>
        <v>884526.87376837176</v>
      </c>
      <c r="N19" s="245">
        <f>M19/1.03^15</f>
        <v>567744.14172169776</v>
      </c>
    </row>
    <row r="20" spans="1:15" x14ac:dyDescent="0.25">
      <c r="A20" s="249">
        <v>14.042116974971787</v>
      </c>
      <c r="B20" s="249">
        <v>19.444975415487242</v>
      </c>
      <c r="C20" s="249">
        <v>0.76864898454183261</v>
      </c>
      <c r="D20" s="252">
        <v>18100</v>
      </c>
      <c r="E20" s="252">
        <v>867600</v>
      </c>
      <c r="F20" s="242">
        <v>71</v>
      </c>
      <c r="G20" s="247">
        <v>2038</v>
      </c>
      <c r="H20" s="247">
        <v>17</v>
      </c>
      <c r="I20" s="252">
        <f t="shared" si="0"/>
        <v>1272996.2312558023</v>
      </c>
      <c r="J20" s="254">
        <f>Emissions!I20/(1.07^16)</f>
        <v>431207.86639101908</v>
      </c>
      <c r="K20" s="247">
        <v>2038</v>
      </c>
      <c r="L20" s="247">
        <v>17</v>
      </c>
      <c r="M20" s="242">
        <f t="shared" si="1"/>
        <v>897162.97196506278</v>
      </c>
      <c r="N20" s="245">
        <f>M20/1.03^16</f>
        <v>559082.30322108942</v>
      </c>
    </row>
    <row r="21" spans="1:15" x14ac:dyDescent="0.25">
      <c r="A21" s="249">
        <v>14.042116974971787</v>
      </c>
      <c r="B21" s="249">
        <v>19.444975415487242</v>
      </c>
      <c r="C21" s="249">
        <v>0.76864898454183261</v>
      </c>
      <c r="D21" s="252">
        <v>18100</v>
      </c>
      <c r="E21" s="252">
        <v>867600</v>
      </c>
      <c r="F21" s="242">
        <v>72</v>
      </c>
      <c r="G21" s="247">
        <v>2039</v>
      </c>
      <c r="H21" s="247">
        <v>18</v>
      </c>
      <c r="I21" s="252">
        <f t="shared" si="0"/>
        <v>1272996.2312558023</v>
      </c>
      <c r="J21" s="254">
        <f>Emissions!I21/(1.07^17)</f>
        <v>402998.00597291504</v>
      </c>
      <c r="K21" s="247">
        <v>2039</v>
      </c>
      <c r="L21" s="247">
        <v>18</v>
      </c>
      <c r="M21" s="242">
        <f t="shared" si="1"/>
        <v>909799.0701617538</v>
      </c>
      <c r="N21" s="245">
        <f>M21/1.03^17</f>
        <v>550443.39986214193</v>
      </c>
    </row>
    <row r="22" spans="1:15" x14ac:dyDescent="0.25">
      <c r="A22" s="249">
        <v>14.042116974971787</v>
      </c>
      <c r="B22" s="249">
        <v>19.444975415487242</v>
      </c>
      <c r="C22" s="249">
        <v>0.76864898454183261</v>
      </c>
      <c r="D22" s="252">
        <v>18100</v>
      </c>
      <c r="E22" s="252">
        <v>867600</v>
      </c>
      <c r="F22" s="242">
        <v>73</v>
      </c>
      <c r="G22" s="247">
        <v>2040</v>
      </c>
      <c r="H22" s="247">
        <v>19</v>
      </c>
      <c r="I22" s="252">
        <f t="shared" si="0"/>
        <v>1272996.2312558023</v>
      </c>
      <c r="J22" s="254">
        <f>Emissions!I22/(1.07^18)</f>
        <v>376633.65044197667</v>
      </c>
      <c r="K22" s="247">
        <v>2040</v>
      </c>
      <c r="L22" s="247">
        <v>19</v>
      </c>
      <c r="M22" s="242">
        <f t="shared" si="1"/>
        <v>922435.16835844493</v>
      </c>
      <c r="N22" s="245">
        <f>M22/1.03^18</f>
        <v>541833.44376936846</v>
      </c>
    </row>
    <row r="23" spans="1:15" x14ac:dyDescent="0.25">
      <c r="A23" s="249">
        <v>14.042116974971787</v>
      </c>
      <c r="B23" s="249">
        <v>19.444975415487242</v>
      </c>
      <c r="C23" s="249">
        <v>0.76864898454183261</v>
      </c>
      <c r="D23" s="252">
        <v>18100</v>
      </c>
      <c r="E23" s="252">
        <v>867600</v>
      </c>
      <c r="F23" s="242">
        <v>74</v>
      </c>
      <c r="G23" s="247">
        <v>2041</v>
      </c>
      <c r="H23" s="247">
        <v>20</v>
      </c>
      <c r="I23" s="252">
        <f t="shared" si="0"/>
        <v>1272996.2312558023</v>
      </c>
      <c r="J23" s="254">
        <f>Emissions!I23/(1.07^19)</f>
        <v>351994.065833623</v>
      </c>
      <c r="K23" s="247">
        <v>2041</v>
      </c>
      <c r="L23" s="247">
        <v>20</v>
      </c>
      <c r="M23" s="242">
        <f t="shared" si="1"/>
        <v>935071.26655513595</v>
      </c>
      <c r="N23" s="245">
        <f>M23/1.03^19</f>
        <v>533258.07738972292</v>
      </c>
    </row>
    <row r="24" spans="1:15" x14ac:dyDescent="0.25">
      <c r="A24" s="249">
        <v>14.042116974971787</v>
      </c>
      <c r="B24" s="249">
        <v>19.444975415487242</v>
      </c>
      <c r="C24" s="249">
        <v>0.76864898454183261</v>
      </c>
      <c r="D24" s="252">
        <v>18100</v>
      </c>
      <c r="E24" s="252">
        <v>867600</v>
      </c>
      <c r="F24" s="242">
        <v>75</v>
      </c>
      <c r="G24" s="247">
        <v>2042</v>
      </c>
      <c r="H24" s="247">
        <v>21</v>
      </c>
      <c r="I24" s="252">
        <f t="shared" si="0"/>
        <v>1272996.2312558023</v>
      </c>
      <c r="J24" s="254">
        <f>Emissions!I24/(1.07^20)</f>
        <v>328966.41666693741</v>
      </c>
      <c r="K24" s="247">
        <v>2042</v>
      </c>
      <c r="L24" s="247">
        <v>21</v>
      </c>
      <c r="M24" s="242">
        <f t="shared" si="1"/>
        <v>947707.36475182697</v>
      </c>
      <c r="N24" s="245">
        <f>M24/1.03^20</f>
        <v>524722.58992691187</v>
      </c>
    </row>
    <row r="25" spans="1:15" x14ac:dyDescent="0.25">
      <c r="A25" s="249">
        <v>14.042116974971787</v>
      </c>
      <c r="B25" s="249">
        <v>19.444975415487242</v>
      </c>
      <c r="C25" s="249">
        <v>0.76864898454183261</v>
      </c>
      <c r="D25" s="252">
        <v>18100</v>
      </c>
      <c r="E25" s="252">
        <v>867600</v>
      </c>
      <c r="F25" s="242">
        <v>76</v>
      </c>
      <c r="G25" s="247">
        <v>2043</v>
      </c>
      <c r="H25" s="247">
        <v>22</v>
      </c>
      <c r="I25" s="252">
        <f t="shared" si="0"/>
        <v>1272996.2312558023</v>
      </c>
      <c r="J25" s="254">
        <f>Emissions!I25/(1.07^21)</f>
        <v>307445.24922143685</v>
      </c>
      <c r="K25" s="247">
        <v>2043</v>
      </c>
      <c r="L25" s="247">
        <v>22</v>
      </c>
      <c r="M25" s="242">
        <f t="shared" si="1"/>
        <v>960343.46294851799</v>
      </c>
      <c r="N25" s="245">
        <f>M25/1.03^21</f>
        <v>516231.93313197803</v>
      </c>
    </row>
    <row r="26" spans="1:15" x14ac:dyDescent="0.25">
      <c r="A26" s="249">
        <v>14.042116974971787</v>
      </c>
      <c r="B26" s="249">
        <v>19.444975415487242</v>
      </c>
      <c r="C26" s="249">
        <v>0.76864898454183261</v>
      </c>
      <c r="D26" s="252">
        <v>18100</v>
      </c>
      <c r="E26" s="252">
        <v>867600</v>
      </c>
      <c r="F26" s="242">
        <v>77</v>
      </c>
      <c r="G26" s="247">
        <v>2044</v>
      </c>
      <c r="H26" s="247">
        <v>23</v>
      </c>
      <c r="I26" s="252">
        <f t="shared" si="0"/>
        <v>1272996.2312558023</v>
      </c>
      <c r="J26" s="254">
        <f>Emissions!I26/(1.07^22)</f>
        <v>287332.00861816527</v>
      </c>
      <c r="K26" s="247">
        <v>2044</v>
      </c>
      <c r="L26" s="247">
        <v>23</v>
      </c>
      <c r="M26" s="242">
        <f t="shared" si="1"/>
        <v>972979.56114520901</v>
      </c>
      <c r="N26" s="245">
        <f>M26/1.03^22</f>
        <v>507790.73647371365</v>
      </c>
    </row>
    <row r="27" spans="1:15" x14ac:dyDescent="0.25">
      <c r="A27" s="250">
        <v>14.042116974971787</v>
      </c>
      <c r="B27" s="250">
        <v>19.444975415487242</v>
      </c>
      <c r="C27" s="250">
        <v>0.76864898454183261</v>
      </c>
      <c r="D27" s="253">
        <v>18100</v>
      </c>
      <c r="E27" s="253">
        <v>867600</v>
      </c>
      <c r="F27" s="243">
        <v>78</v>
      </c>
      <c r="G27" s="248">
        <v>2045</v>
      </c>
      <c r="H27" s="248">
        <v>24</v>
      </c>
      <c r="I27" s="253">
        <f t="shared" si="0"/>
        <v>1272996.2312558023</v>
      </c>
      <c r="J27" s="255">
        <f>Emissions!I27/(1.07^23)</f>
        <v>268534.58749361237</v>
      </c>
      <c r="K27" s="248">
        <v>2045</v>
      </c>
      <c r="L27" s="248">
        <v>24</v>
      </c>
      <c r="M27" s="243">
        <f t="shared" si="1"/>
        <v>985615.65934190003</v>
      </c>
      <c r="N27" s="246">
        <f>M27/1.03^23</f>
        <v>499403.32171163365</v>
      </c>
    </row>
    <row r="28" spans="1:15" ht="15.75" thickBot="1" x14ac:dyDescent="0.3">
      <c r="A28" s="258" t="s">
        <v>762</v>
      </c>
      <c r="B28" s="258"/>
      <c r="C28" s="258"/>
      <c r="D28" s="258"/>
      <c r="E28" s="258"/>
      <c r="F28" s="258"/>
      <c r="G28" s="258"/>
      <c r="H28" s="258"/>
      <c r="I28" s="259">
        <f>SUM(I6:I27)</f>
        <v>27489849.594730999</v>
      </c>
      <c r="J28" s="256">
        <f>SUM(J6:J27)</f>
        <v>12761523.996445086</v>
      </c>
      <c r="K28" s="258"/>
      <c r="L28" s="258"/>
      <c r="M28" s="260">
        <f>SUM(M4:M27)</f>
        <v>18562428.25093912</v>
      </c>
      <c r="N28" s="257">
        <f>SUM(N4:N27)</f>
        <v>12798558.342062833</v>
      </c>
      <c r="O28" s="12" t="s">
        <v>727</v>
      </c>
    </row>
    <row r="29" spans="1:15" ht="15.75" thickBot="1" x14ac:dyDescent="0.3">
      <c r="J29" s="3"/>
      <c r="O29" s="41">
        <f>J28+N28</f>
        <v>25560082.338507921</v>
      </c>
    </row>
    <row r="30" spans="1:15" x14ac:dyDescent="0.25">
      <c r="B30" s="180"/>
      <c r="H30" s="15"/>
      <c r="I30" s="168" t="s">
        <v>167</v>
      </c>
      <c r="J30" s="168" t="s">
        <v>168</v>
      </c>
      <c r="L30" s="12" t="s">
        <v>172</v>
      </c>
    </row>
    <row r="31" spans="1:15" x14ac:dyDescent="0.25">
      <c r="A31" t="s">
        <v>180</v>
      </c>
      <c r="B31" s="180"/>
      <c r="H31" s="15" t="s">
        <v>665</v>
      </c>
      <c r="I31" s="261">
        <v>22.88</v>
      </c>
      <c r="J31" s="261">
        <v>11.75</v>
      </c>
      <c r="L31" s="173" t="s">
        <v>173</v>
      </c>
    </row>
    <row r="32" spans="1:15" x14ac:dyDescent="0.25">
      <c r="A32" t="s">
        <v>181</v>
      </c>
      <c r="B32" s="267">
        <v>907185</v>
      </c>
      <c r="E32" s="167"/>
      <c r="F32" s="167"/>
      <c r="G32" s="167"/>
      <c r="H32" s="15" t="s">
        <v>666</v>
      </c>
      <c r="I32" s="262">
        <v>1610369</v>
      </c>
      <c r="J32" s="262">
        <v>1602180</v>
      </c>
      <c r="L32" t="s">
        <v>174</v>
      </c>
      <c r="M32" s="180">
        <v>2.6829999999999998</v>
      </c>
      <c r="N32" s="167"/>
    </row>
    <row r="33" spans="1:14" s="167" customFormat="1" x14ac:dyDescent="0.25">
      <c r="A33" t="s">
        <v>182</v>
      </c>
      <c r="B33" s="180">
        <v>1.1014999999999999</v>
      </c>
      <c r="C33"/>
      <c r="E33"/>
      <c r="F33"/>
      <c r="G33"/>
      <c r="H33" s="15" t="s">
        <v>667</v>
      </c>
      <c r="I33" s="262">
        <f>(I31*I32)/60</f>
        <v>614087.37866666669</v>
      </c>
      <c r="J33" s="264">
        <f>(J31*J32)/60</f>
        <v>313760.25</v>
      </c>
      <c r="K33"/>
      <c r="L33" t="s">
        <v>175</v>
      </c>
      <c r="M33" s="180">
        <v>3.5150000000000001</v>
      </c>
      <c r="N33"/>
    </row>
    <row r="34" spans="1:14" x14ac:dyDescent="0.25">
      <c r="A34" s="167" t="s">
        <v>718</v>
      </c>
      <c r="B34" s="268">
        <v>8887</v>
      </c>
      <c r="C34" s="167"/>
      <c r="E34" s="167"/>
      <c r="F34" s="167"/>
      <c r="G34" s="167"/>
      <c r="H34" s="15"/>
      <c r="I34" s="261"/>
      <c r="J34" s="261"/>
      <c r="L34" t="s">
        <v>176</v>
      </c>
      <c r="M34" s="180" t="s">
        <v>177</v>
      </c>
      <c r="N34" s="167"/>
    </row>
    <row r="35" spans="1:14" s="167" customFormat="1" x14ac:dyDescent="0.25">
      <c r="A35" t="s">
        <v>730</v>
      </c>
      <c r="B35" s="268">
        <v>10180</v>
      </c>
      <c r="C35"/>
      <c r="H35" s="15" t="s">
        <v>185</v>
      </c>
      <c r="I35" s="263">
        <f>I33*365</f>
        <v>224141893.21333334</v>
      </c>
      <c r="J35" s="265">
        <f>J33*365</f>
        <v>114522491.25</v>
      </c>
      <c r="K35" s="39"/>
      <c r="L35" t="s">
        <v>178</v>
      </c>
      <c r="M35" s="180" t="s">
        <v>177</v>
      </c>
    </row>
    <row r="36" spans="1:14" s="167" customFormat="1" x14ac:dyDescent="0.25">
      <c r="F36"/>
      <c r="G36"/>
      <c r="H36" s="15" t="s">
        <v>171</v>
      </c>
      <c r="I36" s="261">
        <v>0.126</v>
      </c>
      <c r="J36" s="261">
        <v>0.126</v>
      </c>
      <c r="K36"/>
      <c r="L36" s="173" t="s">
        <v>179</v>
      </c>
      <c r="M36" s="180"/>
      <c r="N36"/>
    </row>
    <row r="37" spans="1:14" x14ac:dyDescent="0.25">
      <c r="A37" s="12" t="s">
        <v>717</v>
      </c>
      <c r="B37" s="12"/>
      <c r="C37" s="12"/>
      <c r="D37" s="167"/>
      <c r="E37" s="167"/>
      <c r="H37" s="167"/>
      <c r="I37" s="167"/>
      <c r="J37" s="167"/>
      <c r="L37" t="s">
        <v>174</v>
      </c>
      <c r="M37" s="180">
        <v>3.4550000000000001</v>
      </c>
    </row>
    <row r="38" spans="1:14" x14ac:dyDescent="0.25">
      <c r="A38" t="s">
        <v>692</v>
      </c>
      <c r="B38" t="s">
        <v>693</v>
      </c>
      <c r="C38" t="s">
        <v>694</v>
      </c>
      <c r="D38" s="12"/>
      <c r="E38" s="180" t="s">
        <v>698</v>
      </c>
      <c r="H38" s="168" t="s">
        <v>669</v>
      </c>
      <c r="I38" s="168" t="s">
        <v>670</v>
      </c>
      <c r="J38" s="168" t="s">
        <v>9</v>
      </c>
      <c r="L38" t="s">
        <v>175</v>
      </c>
      <c r="M38" s="180">
        <v>33.762999999999998</v>
      </c>
    </row>
    <row r="39" spans="1:14" x14ac:dyDescent="0.25">
      <c r="C39" t="s">
        <v>695</v>
      </c>
      <c r="D39" t="s">
        <v>696</v>
      </c>
      <c r="E39" t="s">
        <v>699</v>
      </c>
      <c r="H39" s="15" t="s">
        <v>668</v>
      </c>
      <c r="I39" s="171">
        <f>I35-J35</f>
        <v>109619401.96333334</v>
      </c>
      <c r="J39" s="265">
        <f>I39/24</f>
        <v>4567475.0818055561</v>
      </c>
      <c r="L39" t="s">
        <v>176</v>
      </c>
      <c r="M39" s="180">
        <v>1.1000000000000001</v>
      </c>
    </row>
    <row r="40" spans="1:14" x14ac:dyDescent="0.25">
      <c r="A40" t="s">
        <v>700</v>
      </c>
      <c r="B40" s="180" t="s">
        <v>701</v>
      </c>
      <c r="C40" s="180">
        <v>2</v>
      </c>
      <c r="D40" s="180" t="s">
        <v>697</v>
      </c>
      <c r="E40" s="180">
        <v>0.16</v>
      </c>
      <c r="F40" s="180"/>
      <c r="H40" s="15" t="s">
        <v>169</v>
      </c>
      <c r="I40" s="172">
        <f>I39*(1-I36)</f>
        <v>95807357.315953344</v>
      </c>
      <c r="J40" s="265">
        <f>I40/24</f>
        <v>3991973.2214980558</v>
      </c>
      <c r="L40" t="s">
        <v>178</v>
      </c>
      <c r="M40" s="180" t="s">
        <v>177</v>
      </c>
    </row>
    <row r="41" spans="1:14" x14ac:dyDescent="0.25">
      <c r="A41" t="s">
        <v>703</v>
      </c>
      <c r="B41" s="180" t="s">
        <v>701</v>
      </c>
      <c r="C41" s="180">
        <v>4.5999999999999996</v>
      </c>
      <c r="D41" s="180" t="s">
        <v>702</v>
      </c>
      <c r="E41" s="180">
        <v>0.39</v>
      </c>
      <c r="F41" s="180">
        <v>0.27500000000000002</v>
      </c>
      <c r="H41" s="15" t="s">
        <v>170</v>
      </c>
      <c r="I41" s="172">
        <f>I39*I36</f>
        <v>13812044.64738</v>
      </c>
      <c r="J41" s="265">
        <f>I41/24</f>
        <v>575501.8603075</v>
      </c>
    </row>
    <row r="42" spans="1:14" x14ac:dyDescent="0.25">
      <c r="A42" t="s">
        <v>700</v>
      </c>
      <c r="B42" s="180" t="s">
        <v>704</v>
      </c>
      <c r="C42" s="180">
        <v>2</v>
      </c>
      <c r="D42" s="180" t="s">
        <v>702</v>
      </c>
      <c r="E42" s="180">
        <v>0.17</v>
      </c>
      <c r="F42" s="180"/>
    </row>
    <row r="43" spans="1:14" x14ac:dyDescent="0.25">
      <c r="A43" t="s">
        <v>705</v>
      </c>
      <c r="B43" s="180" t="s">
        <v>701</v>
      </c>
      <c r="C43" s="269" t="s">
        <v>714</v>
      </c>
      <c r="D43" s="180" t="s">
        <v>702</v>
      </c>
      <c r="E43" s="180">
        <v>0.84</v>
      </c>
      <c r="F43" s="180"/>
      <c r="H43" s="16" t="s">
        <v>763</v>
      </c>
      <c r="I43" s="16" t="s">
        <v>721</v>
      </c>
      <c r="J43" s="16" t="s">
        <v>722</v>
      </c>
      <c r="K43" s="239" t="s">
        <v>728</v>
      </c>
    </row>
    <row r="44" spans="1:14" x14ac:dyDescent="0.25">
      <c r="A44" t="s">
        <v>707</v>
      </c>
      <c r="B44" s="180" t="s">
        <v>704</v>
      </c>
      <c r="C44" s="180" t="s">
        <v>702</v>
      </c>
      <c r="D44" s="180" t="s">
        <v>706</v>
      </c>
      <c r="E44" s="180">
        <v>0.84</v>
      </c>
      <c r="F44" s="180"/>
      <c r="H44" s="177" t="s">
        <v>723</v>
      </c>
      <c r="I44" s="261">
        <v>0.27500000000000002</v>
      </c>
      <c r="J44" s="265">
        <f>I44*J40</f>
        <v>1097792.6359119655</v>
      </c>
      <c r="K44" s="266">
        <f>((J44*B34)/B32)/B33</f>
        <v>9763.2662099738063</v>
      </c>
    </row>
    <row r="45" spans="1:14" x14ac:dyDescent="0.25">
      <c r="A45" t="s">
        <v>708</v>
      </c>
      <c r="B45" s="180" t="s">
        <v>704</v>
      </c>
      <c r="C45" s="180" t="s">
        <v>702</v>
      </c>
      <c r="D45" s="268">
        <v>19500</v>
      </c>
      <c r="E45" s="180">
        <v>0.59</v>
      </c>
      <c r="F45" s="180"/>
      <c r="H45" s="177" t="s">
        <v>729</v>
      </c>
      <c r="I45" s="261">
        <v>0.49</v>
      </c>
      <c r="J45" s="265">
        <f>I45*J41</f>
        <v>281995.91155067499</v>
      </c>
      <c r="K45" s="266">
        <f>((J45*B35)/B32)/B33</f>
        <v>2872.831986717219</v>
      </c>
    </row>
    <row r="46" spans="1:14" x14ac:dyDescent="0.25">
      <c r="A46" t="s">
        <v>705</v>
      </c>
      <c r="B46" s="180" t="s">
        <v>704</v>
      </c>
      <c r="C46" s="269" t="s">
        <v>715</v>
      </c>
      <c r="D46" s="268">
        <v>26000</v>
      </c>
      <c r="E46" s="180">
        <v>0.44</v>
      </c>
      <c r="F46" s="180"/>
    </row>
    <row r="47" spans="1:14" x14ac:dyDescent="0.25">
      <c r="A47" t="s">
        <v>710</v>
      </c>
      <c r="B47" s="180" t="s">
        <v>704</v>
      </c>
      <c r="C47" s="180" t="s">
        <v>702</v>
      </c>
      <c r="D47" s="180" t="s">
        <v>709</v>
      </c>
      <c r="E47" s="180">
        <v>0.97</v>
      </c>
      <c r="F47" s="180"/>
    </row>
    <row r="48" spans="1:14" x14ac:dyDescent="0.25">
      <c r="A48" t="s">
        <v>711</v>
      </c>
      <c r="B48" s="180" t="s">
        <v>704</v>
      </c>
      <c r="C48" s="180" t="s">
        <v>702</v>
      </c>
      <c r="D48" s="268">
        <v>30000</v>
      </c>
      <c r="E48" s="180">
        <v>0.49</v>
      </c>
      <c r="F48" s="180">
        <v>0.49</v>
      </c>
    </row>
    <row r="49" spans="1:6" x14ac:dyDescent="0.25">
      <c r="A49" t="s">
        <v>712</v>
      </c>
      <c r="B49" s="180" t="s">
        <v>704</v>
      </c>
      <c r="C49" s="180" t="s">
        <v>702</v>
      </c>
      <c r="D49" s="268">
        <v>32000</v>
      </c>
      <c r="E49" s="180">
        <v>0.9</v>
      </c>
      <c r="F49" s="180"/>
    </row>
    <row r="50" spans="1:6" x14ac:dyDescent="0.25">
      <c r="A50" t="s">
        <v>713</v>
      </c>
      <c r="B50" s="180" t="s">
        <v>704</v>
      </c>
      <c r="C50" s="180" t="s">
        <v>702</v>
      </c>
      <c r="D50" s="268">
        <v>37000</v>
      </c>
      <c r="E50" s="180">
        <v>0.64</v>
      </c>
      <c r="F50" s="180"/>
    </row>
    <row r="51" spans="1:6" x14ac:dyDescent="0.25">
      <c r="A51" s="176"/>
      <c r="D51" s="268">
        <v>80000</v>
      </c>
    </row>
    <row r="52" spans="1:6" x14ac:dyDescent="0.25">
      <c r="A52" s="176" t="s">
        <v>719</v>
      </c>
      <c r="B52" s="176"/>
      <c r="C52" s="176"/>
      <c r="E52" s="176"/>
    </row>
    <row r="53" spans="1:6" s="167" customFormat="1" x14ac:dyDescent="0.25">
      <c r="A53" s="176" t="s">
        <v>716</v>
      </c>
      <c r="B53" s="176"/>
      <c r="C53" s="176"/>
      <c r="E53" s="176"/>
    </row>
    <row r="54" spans="1:6" x14ac:dyDescent="0.25">
      <c r="A54" t="s">
        <v>720</v>
      </c>
      <c r="D54" s="176"/>
    </row>
    <row r="55" spans="1:6" x14ac:dyDescent="0.25">
      <c r="A55" s="176"/>
      <c r="B55" s="167"/>
      <c r="C55" s="167"/>
    </row>
  </sheetData>
  <hyperlinks>
    <hyperlink ref="A53" r:id="rId1" xr:uid="{2066259A-CEAD-4340-9E0C-9F0B10D9A79E}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6D9B-8C5A-4450-887A-05B604D77A6B}">
  <dimension ref="A1:U42"/>
  <sheetViews>
    <sheetView topLeftCell="C7" workbookViewId="0">
      <selection activeCell="J7" sqref="J7"/>
    </sheetView>
  </sheetViews>
  <sheetFormatPr defaultRowHeight="15" x14ac:dyDescent="0.25"/>
  <cols>
    <col min="1" max="1" width="21.85546875" customWidth="1"/>
    <col min="2" max="2" width="13.42578125" customWidth="1"/>
    <col min="3" max="3" width="15" customWidth="1"/>
    <col min="4" max="4" width="12.5703125" customWidth="1"/>
    <col min="5" max="5" width="12.42578125" customWidth="1"/>
    <col min="6" max="6" width="12.42578125" style="167" customWidth="1"/>
    <col min="7" max="7" width="16.140625" customWidth="1"/>
    <col min="8" max="8" width="15" customWidth="1"/>
    <col min="9" max="9" width="15.28515625" customWidth="1"/>
    <col min="12" max="12" width="17.5703125" customWidth="1"/>
    <col min="15" max="15" width="20.7109375" bestFit="1" customWidth="1"/>
    <col min="20" max="20" width="15.28515625" bestFit="1" customWidth="1"/>
    <col min="21" max="21" width="28.7109375" customWidth="1"/>
  </cols>
  <sheetData>
    <row r="1" spans="1:21" s="167" customFormat="1" x14ac:dyDescent="0.25">
      <c r="A1" s="167" t="s">
        <v>765</v>
      </c>
    </row>
    <row r="2" spans="1:21" x14ac:dyDescent="0.25">
      <c r="A2" t="s">
        <v>627</v>
      </c>
      <c r="L2" s="155"/>
      <c r="M2" s="155"/>
      <c r="N2" s="155"/>
      <c r="O2" s="155"/>
      <c r="P2" s="155"/>
      <c r="Q2" s="155"/>
      <c r="R2" s="155"/>
      <c r="S2" s="155"/>
      <c r="T2" s="155"/>
      <c r="U2" s="155"/>
    </row>
    <row r="3" spans="1:21" s="167" customFormat="1" x14ac:dyDescent="0.25">
      <c r="E3" s="347" t="s">
        <v>779</v>
      </c>
      <c r="F3" s="348"/>
      <c r="G3" s="348"/>
      <c r="H3" s="348"/>
      <c r="I3" s="349"/>
      <c r="L3" s="281"/>
      <c r="M3" s="281"/>
      <c r="N3" s="281"/>
      <c r="O3" s="281"/>
      <c r="P3" s="281"/>
      <c r="Q3" s="281"/>
      <c r="R3" s="281"/>
      <c r="S3" s="281"/>
      <c r="T3" s="281"/>
      <c r="U3" s="281"/>
    </row>
    <row r="4" spans="1:21" ht="30" x14ac:dyDescent="0.25">
      <c r="E4" s="287"/>
      <c r="F4" s="287" t="s">
        <v>574</v>
      </c>
      <c r="G4" s="288" t="s">
        <v>777</v>
      </c>
      <c r="H4" s="288" t="s">
        <v>778</v>
      </c>
      <c r="I4" s="288" t="s">
        <v>780</v>
      </c>
      <c r="L4" s="155"/>
      <c r="M4" s="155"/>
      <c r="N4" s="155"/>
      <c r="O4" s="155"/>
      <c r="P4" s="155"/>
      <c r="Q4" s="155"/>
      <c r="R4" s="353" t="s">
        <v>655</v>
      </c>
      <c r="S4" s="354"/>
      <c r="T4" s="354"/>
      <c r="U4" s="355"/>
    </row>
    <row r="5" spans="1:21" x14ac:dyDescent="0.25">
      <c r="A5" s="12" t="s">
        <v>736</v>
      </c>
      <c r="E5" s="247">
        <v>1</v>
      </c>
      <c r="F5" s="247">
        <v>2022</v>
      </c>
      <c r="G5" s="242">
        <f>SUM(B13:B18)*(B7+B10)</f>
        <v>116325.526</v>
      </c>
      <c r="H5" s="244"/>
      <c r="I5" s="242"/>
      <c r="L5" s="155"/>
      <c r="M5" s="155"/>
      <c r="N5" s="155"/>
      <c r="O5" s="155"/>
      <c r="P5" s="155"/>
      <c r="Q5" s="155"/>
      <c r="R5" s="364"/>
      <c r="S5" s="364" t="s">
        <v>574</v>
      </c>
      <c r="T5" s="273" t="s">
        <v>649</v>
      </c>
      <c r="U5" s="366" t="s">
        <v>651</v>
      </c>
    </row>
    <row r="6" spans="1:21" x14ac:dyDescent="0.25">
      <c r="A6" t="s">
        <v>188</v>
      </c>
      <c r="B6">
        <v>1.64</v>
      </c>
      <c r="C6">
        <v>1.64</v>
      </c>
      <c r="E6" s="247">
        <v>2</v>
      </c>
      <c r="F6" s="247">
        <v>2023</v>
      </c>
      <c r="G6" s="242">
        <f>G5*1.03^2</f>
        <v>123409.75053339999</v>
      </c>
      <c r="H6" s="242"/>
      <c r="I6" s="242"/>
      <c r="L6" s="155"/>
      <c r="M6" s="155"/>
      <c r="N6" s="155"/>
      <c r="O6" s="155"/>
      <c r="P6" s="155"/>
      <c r="Q6" s="155"/>
      <c r="R6" s="365"/>
      <c r="S6" s="365"/>
      <c r="T6" s="274" t="s">
        <v>650</v>
      </c>
      <c r="U6" s="367"/>
    </row>
    <row r="7" spans="1:21" ht="28.9" customHeight="1" x14ac:dyDescent="0.25">
      <c r="A7" t="s">
        <v>189</v>
      </c>
      <c r="B7">
        <f>B6*2</f>
        <v>3.28</v>
      </c>
      <c r="C7">
        <f>C6*4</f>
        <v>6.56</v>
      </c>
      <c r="E7" s="247">
        <v>3</v>
      </c>
      <c r="F7" s="247">
        <v>2024</v>
      </c>
      <c r="G7" s="242">
        <f>G5*1.03^3</f>
        <v>127112.043049402</v>
      </c>
      <c r="H7" s="242">
        <f>SUM(B13:B18)*($C$7+$C$10)</f>
        <v>214063.26560000001</v>
      </c>
      <c r="I7" s="242">
        <f>H7-G7</f>
        <v>86951.222550598017</v>
      </c>
      <c r="L7" s="368"/>
      <c r="M7" s="368"/>
      <c r="N7" s="368"/>
      <c r="O7" s="368"/>
      <c r="P7" s="368"/>
      <c r="Q7" s="369"/>
      <c r="R7" s="275"/>
      <c r="S7" s="275">
        <v>2021</v>
      </c>
      <c r="T7" s="156">
        <v>0</v>
      </c>
      <c r="U7" s="156">
        <v>0</v>
      </c>
    </row>
    <row r="8" spans="1:21" x14ac:dyDescent="0.25">
      <c r="A8" s="12" t="s">
        <v>190</v>
      </c>
      <c r="E8" s="247">
        <v>4</v>
      </c>
      <c r="F8" s="247">
        <v>2025</v>
      </c>
      <c r="G8" s="242">
        <f>G5*1.03^4</f>
        <v>130925.40434088405</v>
      </c>
      <c r="H8" s="242">
        <f>H7*1.03^2</f>
        <v>227099.71847503999</v>
      </c>
      <c r="I8" s="242">
        <f t="shared" ref="I8:I28" si="0">H8-G8</f>
        <v>96174.314134155939</v>
      </c>
      <c r="L8" s="368"/>
      <c r="M8" s="368"/>
      <c r="N8" s="368"/>
      <c r="O8" s="368"/>
      <c r="P8" s="368"/>
      <c r="Q8" s="369"/>
      <c r="R8" s="275"/>
      <c r="S8" s="275">
        <v>2022</v>
      </c>
      <c r="T8" s="156">
        <v>0</v>
      </c>
      <c r="U8" s="156">
        <v>0</v>
      </c>
    </row>
    <row r="9" spans="1:21" x14ac:dyDescent="0.25">
      <c r="A9" t="s">
        <v>188</v>
      </c>
      <c r="B9">
        <v>2.19</v>
      </c>
      <c r="C9">
        <v>1.8839999999999999</v>
      </c>
      <c r="E9" s="247">
        <v>5</v>
      </c>
      <c r="F9" s="247">
        <v>2026</v>
      </c>
      <c r="G9" s="242">
        <f>G5*1.03^5</f>
        <v>134853.16647111057</v>
      </c>
      <c r="H9" s="242">
        <f>H7*1.03^3</f>
        <v>233912.71002929122</v>
      </c>
      <c r="I9" s="242">
        <f t="shared" si="0"/>
        <v>99059.543558180652</v>
      </c>
      <c r="L9" s="157"/>
      <c r="M9" s="155"/>
      <c r="N9" s="155"/>
      <c r="O9" s="155"/>
      <c r="P9" s="155"/>
      <c r="Q9" s="155"/>
      <c r="R9" s="275"/>
      <c r="S9" s="275">
        <v>2023</v>
      </c>
      <c r="T9" s="277">
        <v>1636759</v>
      </c>
      <c r="U9" s="276">
        <f>1636759/1.07</f>
        <v>1529681.308411215</v>
      </c>
    </row>
    <row r="10" spans="1:21" x14ac:dyDescent="0.25">
      <c r="A10" t="s">
        <v>189</v>
      </c>
      <c r="B10">
        <v>4.38</v>
      </c>
      <c r="C10">
        <f>C9*4</f>
        <v>7.5359999999999996</v>
      </c>
      <c r="E10" s="247">
        <v>6</v>
      </c>
      <c r="F10" s="247">
        <v>2027</v>
      </c>
      <c r="G10" s="242">
        <f>G5*1.03^6</f>
        <v>138898.76146524388</v>
      </c>
      <c r="H10" s="242">
        <f>H7*1.03^5</f>
        <v>248157.99407007502</v>
      </c>
      <c r="I10" s="242">
        <f t="shared" si="0"/>
        <v>109259.23260483114</v>
      </c>
      <c r="L10" s="155"/>
      <c r="M10" s="155"/>
      <c r="N10" s="155"/>
      <c r="O10" s="155"/>
      <c r="P10" s="155"/>
      <c r="Q10" s="155"/>
      <c r="R10" s="275"/>
      <c r="S10" s="275">
        <v>2024</v>
      </c>
      <c r="T10" s="277">
        <f>12182458+239000</f>
        <v>12421458</v>
      </c>
      <c r="U10" s="276">
        <f>11385475/1.07^2</f>
        <v>9944514.8047864437</v>
      </c>
    </row>
    <row r="11" spans="1:21" x14ac:dyDescent="0.25">
      <c r="E11" s="247">
        <v>7</v>
      </c>
      <c r="F11" s="247">
        <v>2028</v>
      </c>
      <c r="G11" s="242">
        <f>G5*1.03^7</f>
        <v>143065.72430920121</v>
      </c>
      <c r="H11" s="242">
        <f>H7*1.03^6</f>
        <v>255602.73389217729</v>
      </c>
      <c r="I11" s="242">
        <f t="shared" si="0"/>
        <v>112537.00958297608</v>
      </c>
      <c r="L11" s="155"/>
      <c r="M11" s="155"/>
      <c r="N11" s="155"/>
      <c r="O11" s="155"/>
      <c r="P11" s="155"/>
      <c r="Q11" s="155"/>
      <c r="R11" s="275"/>
      <c r="S11" s="275">
        <v>2025</v>
      </c>
      <c r="T11" s="277">
        <v>24731000</v>
      </c>
      <c r="U11" s="276">
        <f>21601013/1.07^3</f>
        <v>17632861.050591692</v>
      </c>
    </row>
    <row r="12" spans="1:21" x14ac:dyDescent="0.25">
      <c r="A12" s="12" t="s">
        <v>198</v>
      </c>
      <c r="E12" s="247">
        <v>8</v>
      </c>
      <c r="F12" s="247">
        <v>2029</v>
      </c>
      <c r="G12" s="242">
        <f>G5*1.03^8</f>
        <v>147357.69603847724</v>
      </c>
      <c r="H12" s="242">
        <f>H7*1.03^7</f>
        <v>263270.8159089426</v>
      </c>
      <c r="I12" s="242">
        <f t="shared" si="0"/>
        <v>115913.11987046537</v>
      </c>
      <c r="L12" s="350" t="s">
        <v>781</v>
      </c>
      <c r="M12" s="351"/>
      <c r="N12" s="351"/>
      <c r="O12" s="352"/>
      <c r="P12" s="155"/>
      <c r="Q12" s="155"/>
      <c r="R12" s="275"/>
      <c r="S12" s="275">
        <v>2026</v>
      </c>
      <c r="T12" s="277">
        <v>19782998</v>
      </c>
      <c r="U12" s="276">
        <f>16148819/1.07^4</f>
        <v>12319856.695322104</v>
      </c>
    </row>
    <row r="13" spans="1:21" x14ac:dyDescent="0.25">
      <c r="A13" t="s">
        <v>191</v>
      </c>
      <c r="B13">
        <v>1264.42</v>
      </c>
      <c r="E13" s="247">
        <v>9</v>
      </c>
      <c r="F13" s="247">
        <v>2030</v>
      </c>
      <c r="G13" s="242">
        <f t="shared" ref="G13" si="1">G12*1.03</f>
        <v>151778.42691963157</v>
      </c>
      <c r="H13" s="242">
        <f>H7*1.03^8</f>
        <v>271168.94038621086</v>
      </c>
      <c r="I13" s="242">
        <f t="shared" si="0"/>
        <v>119390.51346657929</v>
      </c>
      <c r="L13" s="356" t="s">
        <v>653</v>
      </c>
      <c r="M13" s="357"/>
      <c r="N13" s="357"/>
      <c r="O13" s="358"/>
      <c r="P13" s="155"/>
      <c r="Q13" s="155"/>
      <c r="R13" s="275">
        <v>1</v>
      </c>
      <c r="S13" s="275">
        <v>2027</v>
      </c>
      <c r="T13" s="277"/>
      <c r="U13" s="158">
        <v>0</v>
      </c>
    </row>
    <row r="14" spans="1:21" x14ac:dyDescent="0.25">
      <c r="A14" t="s">
        <v>192</v>
      </c>
      <c r="B14">
        <v>465.43</v>
      </c>
      <c r="E14" s="247">
        <v>10</v>
      </c>
      <c r="F14" s="247">
        <v>2031</v>
      </c>
      <c r="G14" s="242">
        <f>G5*1.03^9</f>
        <v>151778.42691963154</v>
      </c>
      <c r="H14" s="242">
        <f>H7*1.03^9</f>
        <v>279304.00859779719</v>
      </c>
      <c r="I14" s="242">
        <f t="shared" si="0"/>
        <v>127525.58167816565</v>
      </c>
      <c r="L14" s="359" t="s">
        <v>652</v>
      </c>
      <c r="M14" s="360"/>
      <c r="N14" s="361"/>
      <c r="O14" s="292">
        <v>41426914</v>
      </c>
      <c r="P14" s="155"/>
      <c r="Q14" s="155"/>
      <c r="R14" s="275">
        <v>2</v>
      </c>
      <c r="S14" s="275">
        <v>2028</v>
      </c>
      <c r="T14" s="277"/>
      <c r="U14" s="158">
        <v>0</v>
      </c>
    </row>
    <row r="15" spans="1:21" x14ac:dyDescent="0.25">
      <c r="A15" t="s">
        <v>197</v>
      </c>
      <c r="B15">
        <v>111.02</v>
      </c>
      <c r="E15" s="247">
        <v>11</v>
      </c>
      <c r="F15" s="247">
        <v>2032</v>
      </c>
      <c r="G15" s="242">
        <f>G5*1.03^10</f>
        <v>156331.77972722051</v>
      </c>
      <c r="H15" s="242">
        <f>H7*1.03^10</f>
        <v>287683.12885573111</v>
      </c>
      <c r="I15" s="242">
        <f t="shared" si="0"/>
        <v>131351.3491285106</v>
      </c>
      <c r="L15" s="359" t="s">
        <v>654</v>
      </c>
      <c r="M15" s="360"/>
      <c r="N15" s="361"/>
      <c r="O15" s="292">
        <v>3111122</v>
      </c>
      <c r="P15" s="155"/>
      <c r="Q15" s="155"/>
      <c r="R15" s="275">
        <v>3</v>
      </c>
      <c r="S15" s="275">
        <v>2029</v>
      </c>
      <c r="T15" s="277"/>
      <c r="U15" s="158">
        <v>0</v>
      </c>
    </row>
    <row r="16" spans="1:21" x14ac:dyDescent="0.25">
      <c r="A16" t="s">
        <v>194</v>
      </c>
      <c r="B16">
        <v>645.23</v>
      </c>
      <c r="E16" s="247">
        <v>12</v>
      </c>
      <c r="F16" s="247">
        <v>2033</v>
      </c>
      <c r="G16" s="242">
        <f>G5*1.03^11</f>
        <v>161021.73311903712</v>
      </c>
      <c r="H16" s="242">
        <f>H7*1.03^11</f>
        <v>296313.62272140308</v>
      </c>
      <c r="I16" s="242">
        <f t="shared" si="0"/>
        <v>135291.88960236596</v>
      </c>
      <c r="L16" s="362" t="s">
        <v>782</v>
      </c>
      <c r="M16" s="351"/>
      <c r="N16" s="352"/>
      <c r="O16" s="294">
        <f>SUM(O14:O15)</f>
        <v>44538036</v>
      </c>
      <c r="P16" s="155"/>
      <c r="Q16" s="155"/>
      <c r="R16" s="275">
        <v>4</v>
      </c>
      <c r="S16" s="275">
        <v>2030</v>
      </c>
      <c r="T16" s="277"/>
      <c r="U16" s="158">
        <v>0</v>
      </c>
    </row>
    <row r="17" spans="1:21" x14ac:dyDescent="0.25">
      <c r="A17" t="s">
        <v>195</v>
      </c>
      <c r="B17" s="40">
        <v>6000</v>
      </c>
      <c r="E17" s="247">
        <v>13</v>
      </c>
      <c r="F17" s="247">
        <v>2034</v>
      </c>
      <c r="G17" s="242">
        <f>G5*1.03^12</f>
        <v>165852.3851126082</v>
      </c>
      <c r="H17" s="242">
        <f>H7*1.03^12</f>
        <v>305203.03140304511</v>
      </c>
      <c r="I17" s="242">
        <f t="shared" si="0"/>
        <v>139350.64629043691</v>
      </c>
      <c r="L17" s="363"/>
      <c r="M17" s="363"/>
      <c r="N17" s="363"/>
      <c r="O17" s="363"/>
      <c r="P17" s="155"/>
      <c r="Q17" s="155"/>
      <c r="R17" s="275">
        <v>5</v>
      </c>
      <c r="S17" s="275">
        <v>2031</v>
      </c>
      <c r="T17" s="277"/>
      <c r="U17" s="158">
        <v>0</v>
      </c>
    </row>
    <row r="18" spans="1:21" x14ac:dyDescent="0.25">
      <c r="A18" t="s">
        <v>196</v>
      </c>
      <c r="B18" s="40">
        <v>6700</v>
      </c>
      <c r="E18" s="247">
        <v>14</v>
      </c>
      <c r="F18" s="247">
        <v>2035</v>
      </c>
      <c r="G18" s="242">
        <f>G5*1.03^13</f>
        <v>170827.95666598645</v>
      </c>
      <c r="H18" s="242">
        <f>H7*1.03^13</f>
        <v>314359.12234513642</v>
      </c>
      <c r="I18" s="242">
        <f t="shared" si="0"/>
        <v>143531.16567914997</v>
      </c>
      <c r="L18" s="160"/>
      <c r="M18" s="160"/>
      <c r="N18" s="160"/>
      <c r="O18" s="160"/>
      <c r="P18" s="155"/>
      <c r="Q18" s="155"/>
      <c r="R18" s="275">
        <v>6</v>
      </c>
      <c r="S18" s="275">
        <v>2032</v>
      </c>
      <c r="T18" s="277"/>
      <c r="U18" s="158">
        <v>0</v>
      </c>
    </row>
    <row r="19" spans="1:21" x14ac:dyDescent="0.25">
      <c r="E19" s="247">
        <v>15</v>
      </c>
      <c r="F19" s="247">
        <v>2036</v>
      </c>
      <c r="G19" s="242">
        <f>G5*1.03^14</f>
        <v>175952.79536596607</v>
      </c>
      <c r="H19" s="242">
        <f>H7*1.03^14</f>
        <v>323789.89601549058</v>
      </c>
      <c r="I19" s="242">
        <f t="shared" si="0"/>
        <v>147837.10064952451</v>
      </c>
      <c r="L19" s="155"/>
      <c r="M19" s="155"/>
      <c r="N19" s="155"/>
      <c r="O19" s="155"/>
      <c r="P19" s="155"/>
      <c r="Q19" s="155"/>
      <c r="R19" s="275">
        <v>7</v>
      </c>
      <c r="S19" s="275">
        <v>2033</v>
      </c>
      <c r="T19" s="277"/>
      <c r="U19" s="158">
        <v>0</v>
      </c>
    </row>
    <row r="20" spans="1:21" x14ac:dyDescent="0.25">
      <c r="E20" s="247">
        <v>16</v>
      </c>
      <c r="F20" s="247">
        <v>2037</v>
      </c>
      <c r="G20" s="242">
        <f>G5*1.03^15</f>
        <v>181231.37922694505</v>
      </c>
      <c r="H20" s="242">
        <f>H7*1.03^15</f>
        <v>333503.59289595531</v>
      </c>
      <c r="I20" s="242">
        <f t="shared" si="0"/>
        <v>152272.21366901026</v>
      </c>
      <c r="L20" s="155"/>
      <c r="M20" s="155"/>
      <c r="N20" s="155"/>
      <c r="O20" s="155"/>
      <c r="P20" s="155"/>
      <c r="Q20" s="155"/>
      <c r="R20" s="275">
        <v>8</v>
      </c>
      <c r="S20" s="275">
        <v>2034</v>
      </c>
      <c r="T20" s="277"/>
      <c r="U20" s="158">
        <v>0</v>
      </c>
    </row>
    <row r="21" spans="1:21" x14ac:dyDescent="0.25">
      <c r="E21" s="247">
        <v>17</v>
      </c>
      <c r="F21" s="247">
        <v>2038</v>
      </c>
      <c r="G21" s="242">
        <f>G5*1.03^16</f>
        <v>186668.32060375338</v>
      </c>
      <c r="H21" s="242">
        <f>H7*1.03^16</f>
        <v>343508.70068283391</v>
      </c>
      <c r="I21" s="242">
        <f t="shared" si="0"/>
        <v>156840.38007908053</v>
      </c>
      <c r="L21" s="155"/>
      <c r="M21" s="155"/>
      <c r="N21" s="155"/>
      <c r="O21" s="155"/>
      <c r="P21" s="155"/>
      <c r="Q21" s="155"/>
      <c r="R21" s="275">
        <v>9</v>
      </c>
      <c r="S21" s="275">
        <v>2035</v>
      </c>
      <c r="T21" s="277"/>
      <c r="U21" s="158">
        <v>0</v>
      </c>
    </row>
    <row r="22" spans="1:21" x14ac:dyDescent="0.25">
      <c r="E22" s="247">
        <v>18</v>
      </c>
      <c r="F22" s="247">
        <v>2039</v>
      </c>
      <c r="G22" s="242">
        <f>G5*1.03^17</f>
        <v>192268.37022186597</v>
      </c>
      <c r="H22" s="242">
        <f>H7*1.03^17</f>
        <v>353813.96170331893</v>
      </c>
      <c r="I22" s="242">
        <f t="shared" si="0"/>
        <v>161545.59148145295</v>
      </c>
      <c r="L22" s="155"/>
      <c r="M22" s="155"/>
      <c r="N22" s="155"/>
      <c r="O22" s="155"/>
      <c r="P22" s="155"/>
      <c r="Q22" s="155"/>
      <c r="R22" s="275">
        <v>10</v>
      </c>
      <c r="S22" s="275">
        <v>2036</v>
      </c>
      <c r="T22" s="277"/>
      <c r="U22" s="158">
        <v>0</v>
      </c>
    </row>
    <row r="23" spans="1:21" x14ac:dyDescent="0.25">
      <c r="E23" s="247">
        <v>19</v>
      </c>
      <c r="F23" s="247">
        <v>2040</v>
      </c>
      <c r="G23" s="242">
        <f>G5*1.03^18</f>
        <v>198036.42132852194</v>
      </c>
      <c r="H23" s="242">
        <f>H7*1.03^18</f>
        <v>364428.38055441849</v>
      </c>
      <c r="I23" s="242">
        <f t="shared" si="0"/>
        <v>166391.95922589654</v>
      </c>
      <c r="L23" s="155"/>
      <c r="M23" s="155"/>
      <c r="N23" s="155"/>
      <c r="O23" s="155"/>
      <c r="P23" s="155"/>
      <c r="Q23" s="155"/>
      <c r="R23" s="275">
        <v>11</v>
      </c>
      <c r="S23" s="275">
        <v>2037</v>
      </c>
      <c r="T23" s="277"/>
      <c r="U23" s="158">
        <v>0</v>
      </c>
    </row>
    <row r="24" spans="1:21" x14ac:dyDescent="0.25">
      <c r="E24" s="247">
        <v>20</v>
      </c>
      <c r="F24" s="247">
        <v>2041</v>
      </c>
      <c r="G24" s="242">
        <f>G5*1.03^19</f>
        <v>203977.51396837761</v>
      </c>
      <c r="H24" s="242">
        <f>H7*1.03^19</f>
        <v>375361.23197105102</v>
      </c>
      <c r="I24" s="242">
        <f t="shared" si="0"/>
        <v>171383.71800267341</v>
      </c>
      <c r="L24" s="155"/>
      <c r="M24" s="155"/>
      <c r="N24" s="155"/>
      <c r="O24" s="155"/>
      <c r="P24" s="155"/>
      <c r="Q24" s="155"/>
      <c r="R24" s="275">
        <v>12</v>
      </c>
      <c r="S24" s="275">
        <v>2038</v>
      </c>
      <c r="T24" s="277"/>
      <c r="U24" s="158">
        <v>0</v>
      </c>
    </row>
    <row r="25" spans="1:21" x14ac:dyDescent="0.25">
      <c r="E25" s="247">
        <v>21</v>
      </c>
      <c r="F25" s="247">
        <v>2042</v>
      </c>
      <c r="G25" s="242">
        <f>G5*1.03^20</f>
        <v>210096.83938742892</v>
      </c>
      <c r="H25" s="242">
        <f>H7*1.03^20</f>
        <v>386622.06893018255</v>
      </c>
      <c r="I25" s="242">
        <f t="shared" si="0"/>
        <v>176525.22954275363</v>
      </c>
      <c r="L25" s="155"/>
      <c r="M25" s="155"/>
      <c r="N25" s="155"/>
      <c r="O25" s="155"/>
      <c r="P25" s="155"/>
      <c r="Q25" s="155"/>
      <c r="R25" s="275">
        <v>13</v>
      </c>
      <c r="S25" s="275">
        <v>2039</v>
      </c>
      <c r="T25" s="277"/>
      <c r="U25" s="158">
        <v>0</v>
      </c>
    </row>
    <row r="26" spans="1:21" x14ac:dyDescent="0.25">
      <c r="E26" s="247">
        <v>22</v>
      </c>
      <c r="F26" s="247">
        <v>2043</v>
      </c>
      <c r="G26" s="242">
        <f>G5*1.03^21</f>
        <v>216399.74456905178</v>
      </c>
      <c r="H26" s="242">
        <f>H7*1.03^21</f>
        <v>398220.73099808797</v>
      </c>
      <c r="I26" s="242">
        <f t="shared" si="0"/>
        <v>181820.98642903619</v>
      </c>
      <c r="L26" s="155"/>
      <c r="M26" s="155"/>
      <c r="N26" s="155"/>
      <c r="O26" s="155"/>
      <c r="P26" s="155"/>
      <c r="Q26" s="155"/>
      <c r="R26" s="275">
        <v>14</v>
      </c>
      <c r="S26" s="275">
        <v>2040</v>
      </c>
      <c r="T26" s="277"/>
      <c r="U26" s="158">
        <v>0</v>
      </c>
    </row>
    <row r="27" spans="1:21" x14ac:dyDescent="0.25">
      <c r="E27" s="247">
        <v>23</v>
      </c>
      <c r="F27" s="247">
        <v>2044</v>
      </c>
      <c r="G27" s="242">
        <f>G5*1.03^22</f>
        <v>222891.73690612335</v>
      </c>
      <c r="H27" s="242">
        <f>H7*1.03^22</f>
        <v>410167.35292803065</v>
      </c>
      <c r="I27" s="242">
        <f t="shared" si="0"/>
        <v>187275.61602190731</v>
      </c>
      <c r="L27" s="155"/>
      <c r="M27" s="155"/>
      <c r="N27" s="155"/>
      <c r="O27" s="155"/>
      <c r="P27" s="155"/>
      <c r="Q27" s="155"/>
      <c r="R27" s="275">
        <v>15</v>
      </c>
      <c r="S27" s="275">
        <v>2041</v>
      </c>
      <c r="T27" s="277"/>
      <c r="U27" s="158">
        <v>0</v>
      </c>
    </row>
    <row r="28" spans="1:21" x14ac:dyDescent="0.25">
      <c r="E28" s="247">
        <v>24</v>
      </c>
      <c r="F28" s="247">
        <v>2045</v>
      </c>
      <c r="G28" s="242">
        <f>G5*1.03^23</f>
        <v>229578.48901330706</v>
      </c>
      <c r="H28" s="242">
        <f>H7*1.03^23</f>
        <v>422472.37351587159</v>
      </c>
      <c r="I28" s="242">
        <f t="shared" si="0"/>
        <v>192893.88450256453</v>
      </c>
      <c r="L28" s="155"/>
      <c r="M28" s="155"/>
      <c r="N28" s="155"/>
      <c r="O28" s="155"/>
      <c r="P28" s="155"/>
      <c r="Q28" s="155"/>
      <c r="R28" s="275">
        <v>16</v>
      </c>
      <c r="S28" s="275">
        <v>2042</v>
      </c>
      <c r="T28" s="277"/>
      <c r="U28" s="158">
        <v>0</v>
      </c>
    </row>
    <row r="29" spans="1:21" x14ac:dyDescent="0.25">
      <c r="E29" s="291" t="s">
        <v>783</v>
      </c>
      <c r="F29" s="289"/>
      <c r="G29" s="290">
        <f>SUM(G5:G28)</f>
        <v>4036640.3912631762</v>
      </c>
      <c r="H29" s="290">
        <f>SUM(H5:H28)</f>
        <v>6908027.3824800896</v>
      </c>
      <c r="I29" s="290">
        <f>SUM(I5:I28)</f>
        <v>3111122.2677503154</v>
      </c>
      <c r="L29" s="155"/>
      <c r="M29" s="155"/>
      <c r="N29" s="155"/>
      <c r="O29" s="155"/>
      <c r="P29" s="155"/>
      <c r="Q29" s="155"/>
      <c r="R29" s="275">
        <v>17</v>
      </c>
      <c r="S29" s="275">
        <v>2043</v>
      </c>
      <c r="T29" s="277"/>
      <c r="U29" s="158">
        <v>0</v>
      </c>
    </row>
    <row r="30" spans="1:21" x14ac:dyDescent="0.25">
      <c r="L30" s="155"/>
      <c r="M30" s="155"/>
      <c r="N30" s="155"/>
      <c r="O30" s="155"/>
      <c r="P30" s="155"/>
      <c r="Q30" s="155"/>
      <c r="R30" s="275">
        <v>18</v>
      </c>
      <c r="S30" s="275">
        <v>2044</v>
      </c>
      <c r="T30" s="277"/>
      <c r="U30" s="158">
        <v>0</v>
      </c>
    </row>
    <row r="31" spans="1:21" x14ac:dyDescent="0.25">
      <c r="L31" s="155"/>
      <c r="M31" s="155"/>
      <c r="N31" s="155"/>
      <c r="O31" s="155"/>
      <c r="P31" s="155"/>
      <c r="Q31" s="155"/>
      <c r="R31" s="275">
        <v>19</v>
      </c>
      <c r="S31" s="275">
        <v>2045</v>
      </c>
      <c r="T31" s="277"/>
      <c r="U31" s="158">
        <v>0</v>
      </c>
    </row>
    <row r="32" spans="1:21" x14ac:dyDescent="0.25">
      <c r="E32" s="296"/>
      <c r="F32" s="296" t="s">
        <v>682</v>
      </c>
      <c r="G32" s="162">
        <f>G29/4.38</f>
        <v>921607.39526556537</v>
      </c>
      <c r="L32" s="155"/>
      <c r="M32" s="155"/>
      <c r="N32" s="155"/>
      <c r="O32" s="155"/>
      <c r="P32" s="155"/>
      <c r="Q32" s="155"/>
      <c r="R32" s="275">
        <v>20</v>
      </c>
      <c r="S32" s="275">
        <v>2046</v>
      </c>
      <c r="T32" s="277"/>
      <c r="U32" s="158">
        <v>0</v>
      </c>
    </row>
    <row r="33" spans="5:21" x14ac:dyDescent="0.25">
      <c r="E33" s="238"/>
      <c r="F33" s="296" t="s">
        <v>683</v>
      </c>
      <c r="G33" s="162">
        <f>H29/7.536</f>
        <v>916670.30022294191</v>
      </c>
      <c r="H33" s="162"/>
      <c r="L33" s="155"/>
      <c r="M33" s="155"/>
      <c r="N33" s="155"/>
      <c r="O33" s="155"/>
      <c r="P33" s="155"/>
      <c r="Q33" s="155"/>
      <c r="R33" s="293"/>
      <c r="S33" s="293"/>
      <c r="T33" s="295">
        <f>SUM(T9:T32)</f>
        <v>58572215</v>
      </c>
      <c r="U33" s="295">
        <f>SUM(U9:U32)</f>
        <v>41426913.859111458</v>
      </c>
    </row>
    <row r="34" spans="5:21" x14ac:dyDescent="0.25">
      <c r="L34" s="155"/>
      <c r="M34" s="155"/>
      <c r="N34" s="155"/>
      <c r="O34" s="155"/>
      <c r="P34" s="155"/>
      <c r="Q34" s="155"/>
      <c r="R34" s="155"/>
      <c r="S34" s="155"/>
      <c r="T34" s="155"/>
      <c r="U34" s="155"/>
    </row>
    <row r="35" spans="5:21" x14ac:dyDescent="0.25">
      <c r="L35" s="155"/>
      <c r="M35" s="155"/>
      <c r="N35" s="155"/>
      <c r="O35" s="155"/>
      <c r="P35" s="155"/>
      <c r="Q35" s="155"/>
      <c r="R35" s="155"/>
      <c r="S35" s="155"/>
      <c r="T35" s="155"/>
      <c r="U35" s="155"/>
    </row>
    <row r="36" spans="5:21" x14ac:dyDescent="0.25">
      <c r="L36" s="155"/>
      <c r="M36" s="155"/>
      <c r="N36" s="155"/>
      <c r="O36" s="155"/>
      <c r="P36" s="155"/>
      <c r="Q36" s="155"/>
      <c r="R36" s="155"/>
      <c r="S36" s="155"/>
      <c r="T36" s="155"/>
      <c r="U36" s="159"/>
    </row>
    <row r="37" spans="5:21" x14ac:dyDescent="0.25">
      <c r="P37" s="155"/>
      <c r="Q37" s="155"/>
      <c r="R37" s="155"/>
      <c r="S37" s="155"/>
      <c r="T37" s="155"/>
      <c r="U37" s="159"/>
    </row>
    <row r="38" spans="5:21" x14ac:dyDescent="0.25">
      <c r="P38" s="155"/>
      <c r="Q38" s="155"/>
      <c r="R38" s="155"/>
      <c r="S38" s="155"/>
      <c r="T38" s="155"/>
      <c r="U38" s="155"/>
    </row>
    <row r="39" spans="5:21" x14ac:dyDescent="0.25">
      <c r="P39" s="155"/>
      <c r="Q39" s="155"/>
    </row>
    <row r="40" spans="5:21" x14ac:dyDescent="0.25">
      <c r="P40" s="155"/>
      <c r="Q40" s="155"/>
    </row>
    <row r="41" spans="5:21" x14ac:dyDescent="0.25">
      <c r="P41" s="155"/>
      <c r="Q41" s="155"/>
    </row>
    <row r="42" spans="5:21" x14ac:dyDescent="0.25">
      <c r="P42" s="155"/>
      <c r="Q42" s="155"/>
    </row>
  </sheetData>
  <mergeCells count="17">
    <mergeCell ref="L15:N15"/>
    <mergeCell ref="L16:N16"/>
    <mergeCell ref="L17:O17"/>
    <mergeCell ref="R5:R6"/>
    <mergeCell ref="S5:S6"/>
    <mergeCell ref="L7:L8"/>
    <mergeCell ref="M7:M8"/>
    <mergeCell ref="N7:N8"/>
    <mergeCell ref="O7:O8"/>
    <mergeCell ref="P7:P8"/>
    <mergeCell ref="Q7:Q8"/>
    <mergeCell ref="E3:I3"/>
    <mergeCell ref="L12:O12"/>
    <mergeCell ref="R4:U4"/>
    <mergeCell ref="L13:O13"/>
    <mergeCell ref="L14:N14"/>
    <mergeCell ref="U5:U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7ED2F-0BA9-4131-9107-A3B60F793C15}">
  <dimension ref="A1:K51"/>
  <sheetViews>
    <sheetView topLeftCell="A28" workbookViewId="0">
      <selection activeCell="F21" sqref="F21"/>
    </sheetView>
  </sheetViews>
  <sheetFormatPr defaultRowHeight="15" x14ac:dyDescent="0.25"/>
  <cols>
    <col min="1" max="1" width="38" customWidth="1"/>
    <col min="2" max="2" width="21.7109375" customWidth="1"/>
    <col min="3" max="3" width="24.28515625" customWidth="1"/>
    <col min="6" max="6" width="18.140625" customWidth="1"/>
    <col min="10" max="10" width="13.5703125" bestFit="1" customWidth="1"/>
    <col min="11" max="11" width="10.85546875" bestFit="1" customWidth="1"/>
  </cols>
  <sheetData>
    <row r="1" spans="1:11" x14ac:dyDescent="0.25">
      <c r="A1" s="370" t="s">
        <v>70</v>
      </c>
      <c r="B1" s="370"/>
      <c r="C1" s="370"/>
    </row>
    <row r="2" spans="1:11" x14ac:dyDescent="0.25">
      <c r="B2" s="13" t="s">
        <v>735</v>
      </c>
      <c r="C2" s="12" t="s">
        <v>731</v>
      </c>
    </row>
    <row r="3" spans="1:11" x14ac:dyDescent="0.25">
      <c r="A3" t="s">
        <v>68</v>
      </c>
      <c r="B3">
        <v>10064</v>
      </c>
      <c r="C3">
        <v>7830</v>
      </c>
    </row>
    <row r="4" spans="1:11" x14ac:dyDescent="0.25">
      <c r="A4" t="s">
        <v>104</v>
      </c>
      <c r="B4" s="4">
        <v>23856.607465382298</v>
      </c>
      <c r="C4" s="4">
        <v>18630.185901459852</v>
      </c>
    </row>
    <row r="5" spans="1:11" x14ac:dyDescent="0.25">
      <c r="A5" t="s">
        <v>105</v>
      </c>
      <c r="B5" s="25">
        <v>28718.052378085489</v>
      </c>
      <c r="C5" s="4">
        <v>26332.959660297245</v>
      </c>
    </row>
    <row r="6" spans="1:11" x14ac:dyDescent="0.25">
      <c r="A6" t="s">
        <v>69</v>
      </c>
      <c r="B6">
        <v>1.6460109999999999</v>
      </c>
      <c r="C6">
        <v>2.1930272068141901</v>
      </c>
      <c r="F6" s="28"/>
      <c r="J6" s="22"/>
    </row>
    <row r="7" spans="1:11" x14ac:dyDescent="0.25">
      <c r="A7" t="s">
        <v>108</v>
      </c>
      <c r="B7">
        <v>1.6460109999999999</v>
      </c>
      <c r="C7">
        <v>1.8839999999999999</v>
      </c>
      <c r="F7" s="28"/>
      <c r="J7" s="22"/>
    </row>
    <row r="8" spans="1:11" x14ac:dyDescent="0.25">
      <c r="A8" t="s">
        <v>76</v>
      </c>
      <c r="B8" s="4">
        <v>6258910.5</v>
      </c>
      <c r="C8" s="4">
        <v>6024310.3999999994</v>
      </c>
      <c r="F8" s="28"/>
      <c r="J8" s="22"/>
    </row>
    <row r="9" spans="1:11" x14ac:dyDescent="0.25">
      <c r="A9" t="s">
        <v>106</v>
      </c>
      <c r="B9" s="4">
        <f>B6*B4*365</f>
        <v>14332906.983406004</v>
      </c>
      <c r="C9" s="4">
        <f>C6*C4*365</f>
        <v>14912624.160716275</v>
      </c>
    </row>
    <row r="10" spans="1:11" x14ac:dyDescent="0.25">
      <c r="A10" t="s">
        <v>107</v>
      </c>
      <c r="B10" s="4">
        <f>B6*B5*365</f>
        <v>17253633.991210278</v>
      </c>
      <c r="C10" s="4">
        <f>C7*C5*365</f>
        <v>18108123.040000003</v>
      </c>
      <c r="J10" s="22"/>
    </row>
    <row r="11" spans="1:11" x14ac:dyDescent="0.25">
      <c r="A11" t="s">
        <v>62</v>
      </c>
      <c r="B11" s="2">
        <v>0.73895274584929749</v>
      </c>
      <c r="C11" s="2">
        <v>0.65103338632750407</v>
      </c>
      <c r="J11" s="22"/>
    </row>
    <row r="12" spans="1:11" x14ac:dyDescent="0.25">
      <c r="A12" t="s">
        <v>109</v>
      </c>
      <c r="B12" s="2">
        <f>(B10-B9)/B9</f>
        <v>0.20377771314540458</v>
      </c>
      <c r="C12" s="2">
        <f>(C10-C9)/C9</f>
        <v>0.21428146011360644</v>
      </c>
      <c r="J12" s="22"/>
      <c r="K12" s="22"/>
    </row>
    <row r="13" spans="1:11" x14ac:dyDescent="0.25">
      <c r="A13" t="s">
        <v>99</v>
      </c>
      <c r="B13">
        <v>1140</v>
      </c>
      <c r="C13">
        <v>1433</v>
      </c>
    </row>
    <row r="14" spans="1:11" x14ac:dyDescent="0.25">
      <c r="A14" t="s">
        <v>98</v>
      </c>
      <c r="B14">
        <v>2149</v>
      </c>
      <c r="C14">
        <v>1979</v>
      </c>
    </row>
    <row r="15" spans="1:11" x14ac:dyDescent="0.25">
      <c r="A15" t="s">
        <v>103</v>
      </c>
      <c r="B15">
        <v>0.11579</v>
      </c>
      <c r="C15">
        <v>0.15937999999999999</v>
      </c>
    </row>
    <row r="16" spans="1:11" x14ac:dyDescent="0.25">
      <c r="A16" t="s">
        <v>102</v>
      </c>
      <c r="B16">
        <v>609</v>
      </c>
      <c r="C16">
        <v>695</v>
      </c>
    </row>
    <row r="17" spans="1:3" x14ac:dyDescent="0.25">
      <c r="A17" t="s">
        <v>101</v>
      </c>
      <c r="B17">
        <v>481</v>
      </c>
      <c r="C17">
        <v>466</v>
      </c>
    </row>
    <row r="18" spans="1:3" x14ac:dyDescent="0.25">
      <c r="A18" t="s">
        <v>100</v>
      </c>
      <c r="B18">
        <v>75</v>
      </c>
      <c r="C18">
        <v>87</v>
      </c>
    </row>
    <row r="20" spans="1:3" x14ac:dyDescent="0.25">
      <c r="A20" s="370" t="s">
        <v>77</v>
      </c>
      <c r="B20" s="370"/>
      <c r="C20" s="370"/>
    </row>
    <row r="21" spans="1:3" x14ac:dyDescent="0.25">
      <c r="A21" s="20"/>
      <c r="B21" s="20"/>
    </row>
    <row r="22" spans="1:3" x14ac:dyDescent="0.25">
      <c r="A22" t="s">
        <v>75</v>
      </c>
      <c r="B22" s="21">
        <v>11600000</v>
      </c>
    </row>
    <row r="23" spans="1:3" x14ac:dyDescent="0.25">
      <c r="A23" t="s">
        <v>72</v>
      </c>
      <c r="B23" s="21">
        <v>554800</v>
      </c>
    </row>
    <row r="24" spans="1:3" x14ac:dyDescent="0.25">
      <c r="A24" t="s">
        <v>35</v>
      </c>
      <c r="B24" s="21">
        <v>151100</v>
      </c>
    </row>
    <row r="25" spans="1:3" x14ac:dyDescent="0.25">
      <c r="A25" t="s">
        <v>36</v>
      </c>
      <c r="B25" s="21">
        <v>4600</v>
      </c>
    </row>
    <row r="26" spans="1:3" x14ac:dyDescent="0.25">
      <c r="A26" t="s">
        <v>554</v>
      </c>
    </row>
    <row r="28" spans="1:3" x14ac:dyDescent="0.25">
      <c r="A28" s="370" t="s">
        <v>78</v>
      </c>
      <c r="B28" s="370"/>
      <c r="C28" s="370"/>
    </row>
    <row r="29" spans="1:3" x14ac:dyDescent="0.25">
      <c r="A29" s="12"/>
    </row>
    <row r="30" spans="1:3" x14ac:dyDescent="0.25">
      <c r="A30" s="12" t="s">
        <v>79</v>
      </c>
      <c r="B30" s="12" t="s">
        <v>81</v>
      </c>
    </row>
    <row r="31" spans="1:3" x14ac:dyDescent="0.25">
      <c r="A31" t="s">
        <v>80</v>
      </c>
      <c r="B31" s="22">
        <v>16.2</v>
      </c>
    </row>
    <row r="32" spans="1:3" x14ac:dyDescent="0.25">
      <c r="A32" t="s">
        <v>82</v>
      </c>
      <c r="B32" s="22">
        <v>29.4</v>
      </c>
    </row>
    <row r="33" spans="1:3" x14ac:dyDescent="0.25">
      <c r="A33" t="s">
        <v>83</v>
      </c>
      <c r="B33" s="22">
        <v>17.8</v>
      </c>
    </row>
    <row r="35" spans="1:3" x14ac:dyDescent="0.25">
      <c r="A35" s="12" t="s">
        <v>84</v>
      </c>
    </row>
    <row r="36" spans="1:3" x14ac:dyDescent="0.25">
      <c r="A36" t="s">
        <v>85</v>
      </c>
      <c r="B36" s="22">
        <v>32</v>
      </c>
    </row>
    <row r="37" spans="1:3" x14ac:dyDescent="0.25">
      <c r="A37" t="s">
        <v>86</v>
      </c>
      <c r="B37" s="22">
        <v>33.6</v>
      </c>
    </row>
    <row r="39" spans="1:3" x14ac:dyDescent="0.25">
      <c r="A39" s="370" t="s">
        <v>87</v>
      </c>
      <c r="B39" s="370"/>
      <c r="C39" s="370"/>
    </row>
    <row r="41" spans="1:3" x14ac:dyDescent="0.25">
      <c r="A41" s="12" t="s">
        <v>92</v>
      </c>
      <c r="B41" s="12" t="s">
        <v>93</v>
      </c>
    </row>
    <row r="42" spans="1:3" x14ac:dyDescent="0.25">
      <c r="A42" t="s">
        <v>88</v>
      </c>
      <c r="B42">
        <v>1.48</v>
      </c>
    </row>
    <row r="43" spans="1:3" x14ac:dyDescent="0.25">
      <c r="A43" t="s">
        <v>89</v>
      </c>
      <c r="B43">
        <v>1.58</v>
      </c>
    </row>
    <row r="44" spans="1:3" x14ac:dyDescent="0.25">
      <c r="A44" t="s">
        <v>90</v>
      </c>
      <c r="B44">
        <v>2.02</v>
      </c>
    </row>
    <row r="45" spans="1:3" x14ac:dyDescent="0.25">
      <c r="A45" t="s">
        <v>91</v>
      </c>
      <c r="B45">
        <v>1.67</v>
      </c>
    </row>
    <row r="47" spans="1:3" x14ac:dyDescent="0.25">
      <c r="A47" s="12" t="s">
        <v>94</v>
      </c>
    </row>
    <row r="49" spans="1:2" x14ac:dyDescent="0.25">
      <c r="A49" s="12" t="s">
        <v>92</v>
      </c>
      <c r="B49" s="12" t="s">
        <v>95</v>
      </c>
    </row>
    <row r="50" spans="1:2" x14ac:dyDescent="0.25">
      <c r="A50" t="s">
        <v>96</v>
      </c>
      <c r="B50" s="22">
        <v>0.45</v>
      </c>
    </row>
    <row r="51" spans="1:2" x14ac:dyDescent="0.25">
      <c r="A51" s="24" t="s">
        <v>97</v>
      </c>
      <c r="B51" s="22">
        <v>0.94</v>
      </c>
    </row>
  </sheetData>
  <mergeCells count="4">
    <mergeCell ref="A1:C1"/>
    <mergeCell ref="A20:C20"/>
    <mergeCell ref="A28:C28"/>
    <mergeCell ref="A39:C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C47C3-B261-479D-81E2-69D70E933EA5}">
  <dimension ref="A1:Z307"/>
  <sheetViews>
    <sheetView topLeftCell="A52" zoomScaleNormal="100" workbookViewId="0">
      <selection activeCell="K25" sqref="K25"/>
    </sheetView>
  </sheetViews>
  <sheetFormatPr defaultRowHeight="15" x14ac:dyDescent="0.25"/>
  <cols>
    <col min="1" max="1" width="19.42578125" customWidth="1"/>
    <col min="2" max="2" width="18.7109375" customWidth="1"/>
    <col min="3" max="3" width="13.85546875" customWidth="1"/>
    <col min="4" max="4" width="28.5703125" customWidth="1"/>
    <col min="5" max="5" width="18.7109375" customWidth="1"/>
    <col min="6" max="6" width="9.7109375" customWidth="1"/>
    <col min="9" max="9" width="11.7109375" customWidth="1"/>
    <col min="10" max="10" width="12.28515625" customWidth="1"/>
    <col min="11" max="11" width="16.140625" customWidth="1"/>
  </cols>
  <sheetData>
    <row r="1" spans="1:7" x14ac:dyDescent="0.25">
      <c r="A1" s="12" t="s">
        <v>55</v>
      </c>
    </row>
    <row r="2" spans="1:7" x14ac:dyDescent="0.25">
      <c r="C2" s="12"/>
      <c r="D2" s="12"/>
    </row>
    <row r="3" spans="1:7" x14ac:dyDescent="0.25">
      <c r="A3" s="15"/>
      <c r="B3" s="303" t="s">
        <v>42</v>
      </c>
      <c r="C3" s="303"/>
      <c r="D3" s="303"/>
      <c r="E3" s="303"/>
      <c r="F3" s="15"/>
      <c r="G3" s="15"/>
    </row>
    <row r="4" spans="1:7" x14ac:dyDescent="0.25">
      <c r="A4" s="15"/>
      <c r="B4" s="17" t="s">
        <v>41</v>
      </c>
      <c r="C4" s="371" t="s">
        <v>56</v>
      </c>
      <c r="D4" s="372"/>
      <c r="E4" s="17" t="s">
        <v>35</v>
      </c>
      <c r="F4" s="17" t="s">
        <v>36</v>
      </c>
      <c r="G4" s="17" t="s">
        <v>8</v>
      </c>
    </row>
    <row r="5" spans="1:7" x14ac:dyDescent="0.25">
      <c r="A5" s="15"/>
      <c r="B5" s="17">
        <v>1</v>
      </c>
      <c r="C5" s="371">
        <v>3</v>
      </c>
      <c r="D5" s="372"/>
      <c r="E5" s="17">
        <v>20</v>
      </c>
      <c r="F5" s="17">
        <v>47</v>
      </c>
      <c r="G5" s="17">
        <v>71</v>
      </c>
    </row>
    <row r="6" spans="1:7" x14ac:dyDescent="0.25">
      <c r="A6" s="16" t="s">
        <v>43</v>
      </c>
      <c r="B6" s="19">
        <f>B5/6</f>
        <v>0.16666666666666666</v>
      </c>
      <c r="C6" s="371">
        <f>C5/6</f>
        <v>0.5</v>
      </c>
      <c r="D6" s="372"/>
      <c r="E6" s="19">
        <f>E5/6</f>
        <v>3.3333333333333335</v>
      </c>
      <c r="F6" s="19">
        <f>F5/6</f>
        <v>7.833333333333333</v>
      </c>
      <c r="G6" s="19">
        <f>G5/6</f>
        <v>11.833333333333334</v>
      </c>
    </row>
    <row r="8" spans="1:7" x14ac:dyDescent="0.25">
      <c r="A8" s="15"/>
      <c r="B8" s="303" t="s">
        <v>733</v>
      </c>
      <c r="C8" s="303"/>
      <c r="D8" s="303"/>
      <c r="E8" s="303"/>
      <c r="F8" s="15"/>
      <c r="G8" s="15"/>
    </row>
    <row r="9" spans="1:7" x14ac:dyDescent="0.25">
      <c r="A9" s="15"/>
      <c r="B9" s="17" t="s">
        <v>41</v>
      </c>
      <c r="C9" s="371" t="s">
        <v>56</v>
      </c>
      <c r="D9" s="372"/>
      <c r="E9" s="17" t="s">
        <v>35</v>
      </c>
      <c r="F9" s="17" t="s">
        <v>36</v>
      </c>
      <c r="G9" s="17" t="s">
        <v>8</v>
      </c>
    </row>
    <row r="10" spans="1:7" x14ac:dyDescent="0.25">
      <c r="A10" s="15"/>
      <c r="B10" s="17">
        <v>0</v>
      </c>
      <c r="C10" s="371">
        <v>4</v>
      </c>
      <c r="D10" s="372"/>
      <c r="E10" s="17">
        <v>16</v>
      </c>
      <c r="F10" s="17">
        <v>39</v>
      </c>
      <c r="G10" s="17">
        <v>59</v>
      </c>
    </row>
    <row r="11" spans="1:7" x14ac:dyDescent="0.25">
      <c r="A11" s="16" t="s">
        <v>43</v>
      </c>
      <c r="B11" s="17">
        <f>B10/6</f>
        <v>0</v>
      </c>
      <c r="C11" s="371">
        <f>C10/6</f>
        <v>0.66666666666666663</v>
      </c>
      <c r="D11" s="372"/>
      <c r="E11" s="17">
        <f>E10/6</f>
        <v>2.6666666666666665</v>
      </c>
      <c r="F11" s="17">
        <f>F10/6</f>
        <v>6.5</v>
      </c>
      <c r="G11" s="17">
        <f>G10/6</f>
        <v>9.8333333333333339</v>
      </c>
    </row>
    <row r="13" spans="1:7" x14ac:dyDescent="0.25">
      <c r="A13" s="15"/>
      <c r="B13" s="303" t="s">
        <v>155</v>
      </c>
      <c r="C13" s="303"/>
      <c r="D13" s="303"/>
      <c r="E13" s="303"/>
      <c r="F13" s="15"/>
      <c r="G13" s="15"/>
    </row>
    <row r="14" spans="1:7" x14ac:dyDescent="0.25">
      <c r="A14" s="15"/>
      <c r="B14" s="35" t="s">
        <v>41</v>
      </c>
      <c r="C14" s="371" t="s">
        <v>56</v>
      </c>
      <c r="D14" s="372"/>
      <c r="E14" s="35" t="s">
        <v>35</v>
      </c>
      <c r="F14" s="35" t="s">
        <v>36</v>
      </c>
      <c r="G14" s="35" t="s">
        <v>8</v>
      </c>
    </row>
    <row r="15" spans="1:7" x14ac:dyDescent="0.25">
      <c r="A15" s="15"/>
      <c r="B15" s="35">
        <v>0</v>
      </c>
      <c r="C15" s="371">
        <v>0</v>
      </c>
      <c r="D15" s="372"/>
      <c r="E15" s="35">
        <v>2</v>
      </c>
      <c r="F15" s="35">
        <v>1</v>
      </c>
      <c r="G15" s="35">
        <v>3</v>
      </c>
    </row>
    <row r="16" spans="1:7" x14ac:dyDescent="0.25">
      <c r="A16" s="16" t="s">
        <v>43</v>
      </c>
      <c r="B16" s="35">
        <f>B15/6</f>
        <v>0</v>
      </c>
      <c r="C16" s="371">
        <f>C15/6</f>
        <v>0</v>
      </c>
      <c r="D16" s="372"/>
      <c r="E16" s="35">
        <f>E15/6</f>
        <v>0.33333333333333331</v>
      </c>
      <c r="F16" s="35">
        <f>F15/6</f>
        <v>0.16666666666666666</v>
      </c>
      <c r="G16" s="35">
        <f>G15/6</f>
        <v>0.5</v>
      </c>
    </row>
    <row r="18" spans="1:7" x14ac:dyDescent="0.25">
      <c r="A18" s="15"/>
      <c r="B18" s="303" t="s">
        <v>156</v>
      </c>
      <c r="C18" s="303"/>
      <c r="D18" s="303"/>
      <c r="E18" s="303"/>
      <c r="F18" s="15"/>
      <c r="G18" s="15"/>
    </row>
    <row r="19" spans="1:7" x14ac:dyDescent="0.25">
      <c r="A19" s="15"/>
      <c r="B19" s="35" t="s">
        <v>41</v>
      </c>
      <c r="C19" s="371" t="s">
        <v>56</v>
      </c>
      <c r="D19" s="372"/>
      <c r="E19" s="35" t="s">
        <v>35</v>
      </c>
      <c r="F19" s="35" t="s">
        <v>36</v>
      </c>
      <c r="G19" s="35" t="s">
        <v>8</v>
      </c>
    </row>
    <row r="20" spans="1:7" x14ac:dyDescent="0.25">
      <c r="A20" s="15"/>
      <c r="B20" s="35">
        <v>1</v>
      </c>
      <c r="C20" s="371">
        <v>0</v>
      </c>
      <c r="D20" s="372"/>
      <c r="E20" s="35">
        <v>3</v>
      </c>
      <c r="F20" s="35">
        <v>10</v>
      </c>
      <c r="G20" s="35">
        <v>14</v>
      </c>
    </row>
    <row r="21" spans="1:7" x14ac:dyDescent="0.25">
      <c r="A21" s="16" t="s">
        <v>43</v>
      </c>
      <c r="B21" s="35">
        <f>B20/6</f>
        <v>0.16666666666666666</v>
      </c>
      <c r="C21" s="371">
        <f>C20/6</f>
        <v>0</v>
      </c>
      <c r="D21" s="372"/>
      <c r="E21" s="35">
        <f>E20/6</f>
        <v>0.5</v>
      </c>
      <c r="F21" s="35">
        <f>F20/6</f>
        <v>1.6666666666666667</v>
      </c>
      <c r="G21" s="35">
        <f>G20/6</f>
        <v>2.3333333333333335</v>
      </c>
    </row>
    <row r="23" spans="1:7" x14ac:dyDescent="0.25">
      <c r="A23" s="15"/>
      <c r="B23" s="303" t="s">
        <v>157</v>
      </c>
      <c r="C23" s="303"/>
      <c r="D23" s="303"/>
      <c r="E23" s="303"/>
      <c r="F23" s="15"/>
      <c r="G23" s="15"/>
    </row>
    <row r="24" spans="1:7" x14ac:dyDescent="0.25">
      <c r="A24" s="15"/>
      <c r="B24" s="35" t="s">
        <v>41</v>
      </c>
      <c r="C24" s="371" t="s">
        <v>56</v>
      </c>
      <c r="D24" s="372"/>
      <c r="E24" s="35" t="s">
        <v>35</v>
      </c>
      <c r="F24" s="35" t="s">
        <v>36</v>
      </c>
      <c r="G24" s="35" t="s">
        <v>8</v>
      </c>
    </row>
    <row r="25" spans="1:7" x14ac:dyDescent="0.25">
      <c r="A25" s="15"/>
      <c r="B25" s="35">
        <v>0</v>
      </c>
      <c r="C25" s="371">
        <v>5</v>
      </c>
      <c r="D25" s="372"/>
      <c r="E25" s="35">
        <v>19</v>
      </c>
      <c r="F25" s="35">
        <v>114</v>
      </c>
      <c r="G25" s="35">
        <v>138</v>
      </c>
    </row>
    <row r="26" spans="1:7" x14ac:dyDescent="0.25">
      <c r="A26" s="16" t="s">
        <v>43</v>
      </c>
      <c r="B26" s="35">
        <f>B25/6</f>
        <v>0</v>
      </c>
      <c r="C26" s="371">
        <f>C25/6</f>
        <v>0.83333333333333337</v>
      </c>
      <c r="D26" s="372"/>
      <c r="E26" s="35">
        <f>E25/6</f>
        <v>3.1666666666666665</v>
      </c>
      <c r="F26" s="35">
        <f>F25/6</f>
        <v>19</v>
      </c>
      <c r="G26" s="35">
        <f>G25/6</f>
        <v>23</v>
      </c>
    </row>
    <row r="30" spans="1:7" x14ac:dyDescent="0.25">
      <c r="A30" s="14" t="s">
        <v>46</v>
      </c>
      <c r="B30" s="12" t="s">
        <v>53</v>
      </c>
      <c r="C30" s="12" t="s">
        <v>54</v>
      </c>
      <c r="D30" s="12" t="s">
        <v>49</v>
      </c>
      <c r="E30" s="12" t="s">
        <v>52</v>
      </c>
      <c r="F30" s="14" t="s">
        <v>44</v>
      </c>
      <c r="G30" s="14" t="s">
        <v>47</v>
      </c>
    </row>
    <row r="31" spans="1:7" x14ac:dyDescent="0.25">
      <c r="A31" s="18" t="s">
        <v>45</v>
      </c>
      <c r="B31">
        <v>4933</v>
      </c>
      <c r="D31" t="s">
        <v>50</v>
      </c>
      <c r="E31" t="s">
        <v>51</v>
      </c>
      <c r="F31">
        <v>0.54400000000000004</v>
      </c>
      <c r="G31" t="s">
        <v>48</v>
      </c>
    </row>
    <row r="32" spans="1:7" x14ac:dyDescent="0.25">
      <c r="A32" s="37" t="s">
        <v>152</v>
      </c>
      <c r="B32" s="38">
        <v>2375</v>
      </c>
      <c r="C32" s="36" t="s">
        <v>51</v>
      </c>
      <c r="D32" t="s">
        <v>51</v>
      </c>
      <c r="E32" t="s">
        <v>153</v>
      </c>
      <c r="F32" s="38">
        <v>0.89</v>
      </c>
      <c r="G32" t="s">
        <v>154</v>
      </c>
    </row>
    <row r="34" spans="1:26" x14ac:dyDescent="0.25">
      <c r="A34" t="s">
        <v>199</v>
      </c>
      <c r="B34" t="s">
        <v>394</v>
      </c>
      <c r="C34" t="s">
        <v>395</v>
      </c>
      <c r="D34" t="s">
        <v>396</v>
      </c>
      <c r="E34" t="s">
        <v>397</v>
      </c>
      <c r="F34" t="s">
        <v>398</v>
      </c>
      <c r="G34" t="s">
        <v>399</v>
      </c>
      <c r="H34" t="s">
        <v>400</v>
      </c>
      <c r="I34" t="s">
        <v>401</v>
      </c>
      <c r="J34" t="s">
        <v>402</v>
      </c>
      <c r="K34" t="s">
        <v>403</v>
      </c>
      <c r="L34" t="s">
        <v>404</v>
      </c>
      <c r="M34" t="s">
        <v>405</v>
      </c>
      <c r="N34" t="s">
        <v>406</v>
      </c>
      <c r="O34" t="s">
        <v>407</v>
      </c>
      <c r="P34" t="s">
        <v>408</v>
      </c>
      <c r="Q34" t="s">
        <v>409</v>
      </c>
      <c r="R34" t="s">
        <v>410</v>
      </c>
      <c r="S34" t="s">
        <v>411</v>
      </c>
      <c r="T34" t="s">
        <v>412</v>
      </c>
      <c r="U34" t="s">
        <v>413</v>
      </c>
      <c r="V34" t="s">
        <v>414</v>
      </c>
      <c r="W34" t="s">
        <v>415</v>
      </c>
      <c r="X34" t="s">
        <v>416</v>
      </c>
      <c r="Y34" t="s">
        <v>417</v>
      </c>
      <c r="Z34" t="s">
        <v>418</v>
      </c>
    </row>
    <row r="35" spans="1:26" x14ac:dyDescent="0.25">
      <c r="A35">
        <v>0</v>
      </c>
      <c r="B35" t="s">
        <v>419</v>
      </c>
      <c r="C35" t="s">
        <v>420</v>
      </c>
      <c r="D35">
        <v>265.07299999999998</v>
      </c>
      <c r="E35" t="s">
        <v>421</v>
      </c>
      <c r="F35">
        <v>42552</v>
      </c>
      <c r="G35" t="s">
        <v>422</v>
      </c>
      <c r="H35">
        <v>160010592</v>
      </c>
      <c r="I35">
        <v>532775</v>
      </c>
      <c r="J35" t="s">
        <v>423</v>
      </c>
      <c r="K35" t="s">
        <v>424</v>
      </c>
      <c r="L35" t="s">
        <v>425</v>
      </c>
      <c r="M35">
        <v>7783</v>
      </c>
      <c r="N35" t="s">
        <v>426</v>
      </c>
      <c r="O35">
        <v>1553</v>
      </c>
      <c r="P35" t="s">
        <v>213</v>
      </c>
      <c r="Q35">
        <v>35477478</v>
      </c>
      <c r="R35">
        <v>214788804</v>
      </c>
      <c r="S35">
        <v>37.145859999999999</v>
      </c>
      <c r="T35">
        <v>-93.429060000000007</v>
      </c>
      <c r="U35" t="s">
        <v>213</v>
      </c>
      <c r="V35">
        <v>0</v>
      </c>
      <c r="W35" t="s">
        <v>213</v>
      </c>
      <c r="X35" t="s">
        <v>213</v>
      </c>
      <c r="Y35" t="s">
        <v>427</v>
      </c>
      <c r="Z35" t="s">
        <v>213</v>
      </c>
    </row>
    <row r="36" spans="1:26" x14ac:dyDescent="0.25">
      <c r="A36">
        <v>1</v>
      </c>
      <c r="B36" t="s">
        <v>419</v>
      </c>
      <c r="C36" t="s">
        <v>420</v>
      </c>
      <c r="D36">
        <v>265.13</v>
      </c>
      <c r="E36" t="s">
        <v>428</v>
      </c>
      <c r="F36">
        <v>42510</v>
      </c>
      <c r="G36" t="s">
        <v>422</v>
      </c>
      <c r="H36">
        <v>160010531</v>
      </c>
      <c r="I36">
        <v>978774</v>
      </c>
      <c r="J36" t="s">
        <v>423</v>
      </c>
      <c r="K36" t="s">
        <v>424</v>
      </c>
      <c r="L36" t="s">
        <v>425</v>
      </c>
      <c r="M36">
        <v>7783</v>
      </c>
      <c r="N36" t="s">
        <v>426</v>
      </c>
      <c r="O36">
        <v>1431</v>
      </c>
      <c r="P36" t="s">
        <v>213</v>
      </c>
      <c r="Q36">
        <v>35477474</v>
      </c>
      <c r="R36">
        <v>214788792</v>
      </c>
      <c r="S36">
        <v>37.145400000000002</v>
      </c>
      <c r="T36">
        <v>-93.429919999999996</v>
      </c>
      <c r="U36" t="s">
        <v>213</v>
      </c>
      <c r="V36">
        <v>0</v>
      </c>
      <c r="W36" t="s">
        <v>213</v>
      </c>
      <c r="X36" t="s">
        <v>213</v>
      </c>
      <c r="Y36" t="s">
        <v>427</v>
      </c>
      <c r="Z36" t="s">
        <v>213</v>
      </c>
    </row>
    <row r="37" spans="1:26" x14ac:dyDescent="0.25">
      <c r="A37">
        <v>2</v>
      </c>
      <c r="B37" t="s">
        <v>419</v>
      </c>
      <c r="C37" t="s">
        <v>429</v>
      </c>
      <c r="D37">
        <v>75.594999999999999</v>
      </c>
      <c r="E37" t="s">
        <v>430</v>
      </c>
      <c r="F37">
        <v>42574</v>
      </c>
      <c r="G37" t="s">
        <v>431</v>
      </c>
      <c r="H37">
        <v>160042756</v>
      </c>
      <c r="I37">
        <v>532832</v>
      </c>
      <c r="J37" t="s">
        <v>423</v>
      </c>
      <c r="K37" t="s">
        <v>424</v>
      </c>
      <c r="L37" t="s">
        <v>425</v>
      </c>
      <c r="M37">
        <v>7782</v>
      </c>
      <c r="N37" t="s">
        <v>432</v>
      </c>
      <c r="O37">
        <v>838</v>
      </c>
      <c r="P37" t="s">
        <v>213</v>
      </c>
      <c r="Q37">
        <v>26935276</v>
      </c>
      <c r="R37">
        <v>201849809</v>
      </c>
      <c r="S37">
        <v>37.145699999999998</v>
      </c>
      <c r="T37">
        <v>-93.428960000000004</v>
      </c>
      <c r="U37" t="s">
        <v>213</v>
      </c>
      <c r="V37">
        <v>0</v>
      </c>
      <c r="W37" t="s">
        <v>213</v>
      </c>
      <c r="X37" t="s">
        <v>213</v>
      </c>
      <c r="Y37" t="s">
        <v>427</v>
      </c>
      <c r="Z37" t="s">
        <v>213</v>
      </c>
    </row>
    <row r="38" spans="1:26" x14ac:dyDescent="0.25">
      <c r="A38">
        <v>3</v>
      </c>
      <c r="B38" t="s">
        <v>419</v>
      </c>
      <c r="C38" t="s">
        <v>429</v>
      </c>
      <c r="D38">
        <v>75.599000000000004</v>
      </c>
      <c r="E38" t="s">
        <v>421</v>
      </c>
      <c r="F38">
        <v>42611</v>
      </c>
      <c r="G38" t="s">
        <v>422</v>
      </c>
      <c r="H38">
        <v>160062000</v>
      </c>
      <c r="I38">
        <v>532832</v>
      </c>
      <c r="J38" t="s">
        <v>423</v>
      </c>
      <c r="K38" t="s">
        <v>424</v>
      </c>
      <c r="L38" t="s">
        <v>425</v>
      </c>
      <c r="M38">
        <v>7782</v>
      </c>
      <c r="N38" t="s">
        <v>433</v>
      </c>
      <c r="O38">
        <v>808</v>
      </c>
      <c r="P38" t="s">
        <v>213</v>
      </c>
      <c r="Q38">
        <v>26936294</v>
      </c>
      <c r="R38">
        <v>201853273</v>
      </c>
      <c r="S38">
        <v>37.14573</v>
      </c>
      <c r="T38">
        <v>-93.428899999999999</v>
      </c>
      <c r="U38" t="s">
        <v>213</v>
      </c>
      <c r="V38">
        <v>0</v>
      </c>
      <c r="W38" t="s">
        <v>213</v>
      </c>
      <c r="X38" t="s">
        <v>213</v>
      </c>
      <c r="Y38" t="s">
        <v>427</v>
      </c>
      <c r="Z38" t="s">
        <v>213</v>
      </c>
    </row>
    <row r="39" spans="1:26" x14ac:dyDescent="0.25">
      <c r="A39">
        <v>4</v>
      </c>
      <c r="B39" t="s">
        <v>419</v>
      </c>
      <c r="C39" t="s">
        <v>420</v>
      </c>
      <c r="D39">
        <v>265.07299999999998</v>
      </c>
      <c r="E39" t="s">
        <v>428</v>
      </c>
      <c r="F39">
        <v>42667</v>
      </c>
      <c r="G39" t="s">
        <v>422</v>
      </c>
      <c r="H39">
        <v>160073550</v>
      </c>
      <c r="I39">
        <v>532775</v>
      </c>
      <c r="J39" t="s">
        <v>423</v>
      </c>
      <c r="K39" t="s">
        <v>424</v>
      </c>
      <c r="L39" t="s">
        <v>425</v>
      </c>
      <c r="M39">
        <v>7783</v>
      </c>
      <c r="N39" t="s">
        <v>433</v>
      </c>
      <c r="O39">
        <v>1415</v>
      </c>
      <c r="P39" t="s">
        <v>434</v>
      </c>
      <c r="Q39">
        <v>35480911</v>
      </c>
      <c r="R39">
        <v>214799338</v>
      </c>
      <c r="S39">
        <v>37.145859999999999</v>
      </c>
      <c r="T39">
        <v>-93.429060000000007</v>
      </c>
      <c r="U39" t="s">
        <v>213</v>
      </c>
      <c r="V39">
        <v>0</v>
      </c>
      <c r="W39" t="s">
        <v>213</v>
      </c>
      <c r="X39" t="s">
        <v>213</v>
      </c>
      <c r="Y39" t="s">
        <v>427</v>
      </c>
      <c r="Z39" t="s">
        <v>213</v>
      </c>
    </row>
    <row r="40" spans="1:26" x14ac:dyDescent="0.25">
      <c r="A40">
        <v>5</v>
      </c>
      <c r="B40" t="s">
        <v>419</v>
      </c>
      <c r="C40" t="s">
        <v>435</v>
      </c>
      <c r="D40">
        <v>3.9239999999999999</v>
      </c>
      <c r="E40" t="s">
        <v>421</v>
      </c>
      <c r="F40">
        <v>42688</v>
      </c>
      <c r="G40" t="s">
        <v>422</v>
      </c>
      <c r="H40">
        <v>160078845</v>
      </c>
      <c r="I40">
        <v>978773</v>
      </c>
      <c r="J40" t="s">
        <v>423</v>
      </c>
      <c r="K40" t="s">
        <v>424</v>
      </c>
      <c r="L40" t="s">
        <v>425</v>
      </c>
      <c r="M40">
        <v>2603</v>
      </c>
      <c r="N40" t="s">
        <v>433</v>
      </c>
      <c r="O40">
        <v>1649</v>
      </c>
      <c r="P40" t="s">
        <v>213</v>
      </c>
      <c r="Q40">
        <v>9034600</v>
      </c>
      <c r="R40">
        <v>172811384</v>
      </c>
      <c r="S40">
        <v>37.14602</v>
      </c>
      <c r="T40">
        <v>-93.429209999999998</v>
      </c>
      <c r="U40" t="s">
        <v>213</v>
      </c>
      <c r="V40">
        <v>0</v>
      </c>
      <c r="W40" t="s">
        <v>213</v>
      </c>
      <c r="X40" t="s">
        <v>213</v>
      </c>
      <c r="Y40" t="s">
        <v>436</v>
      </c>
      <c r="Z40" t="s">
        <v>213</v>
      </c>
    </row>
    <row r="41" spans="1:26" x14ac:dyDescent="0.25">
      <c r="A41">
        <v>6</v>
      </c>
      <c r="B41" t="s">
        <v>419</v>
      </c>
      <c r="C41" t="s">
        <v>429</v>
      </c>
      <c r="D41">
        <v>75.575999999999993</v>
      </c>
      <c r="E41" t="s">
        <v>421</v>
      </c>
      <c r="F41">
        <v>42641</v>
      </c>
      <c r="G41" t="s">
        <v>422</v>
      </c>
      <c r="H41">
        <v>160067272</v>
      </c>
      <c r="I41">
        <v>978769</v>
      </c>
      <c r="J41" t="s">
        <v>423</v>
      </c>
      <c r="K41" t="s">
        <v>424</v>
      </c>
      <c r="L41" t="s">
        <v>425</v>
      </c>
      <c r="M41">
        <v>7782</v>
      </c>
      <c r="N41" t="s">
        <v>437</v>
      </c>
      <c r="O41">
        <v>1519</v>
      </c>
      <c r="P41" t="s">
        <v>213</v>
      </c>
      <c r="Q41">
        <v>26936563</v>
      </c>
      <c r="R41">
        <v>201854146</v>
      </c>
      <c r="S41">
        <v>37.14555</v>
      </c>
      <c r="T41">
        <v>-93.429249999999996</v>
      </c>
      <c r="U41" t="s">
        <v>213</v>
      </c>
      <c r="V41">
        <v>0</v>
      </c>
      <c r="W41" t="s">
        <v>213</v>
      </c>
      <c r="X41" t="s">
        <v>213</v>
      </c>
      <c r="Y41" t="s">
        <v>427</v>
      </c>
      <c r="Z41" t="s">
        <v>213</v>
      </c>
    </row>
    <row r="42" spans="1:26" x14ac:dyDescent="0.25">
      <c r="A42">
        <v>7</v>
      </c>
      <c r="B42" t="s">
        <v>419</v>
      </c>
      <c r="C42" t="s">
        <v>435</v>
      </c>
      <c r="D42">
        <v>3.9319999999999999</v>
      </c>
      <c r="E42" t="s">
        <v>421</v>
      </c>
      <c r="F42">
        <v>42696</v>
      </c>
      <c r="G42" t="s">
        <v>422</v>
      </c>
      <c r="H42">
        <v>160079483</v>
      </c>
      <c r="I42">
        <v>532775</v>
      </c>
      <c r="J42" t="s">
        <v>438</v>
      </c>
      <c r="K42" t="s">
        <v>439</v>
      </c>
      <c r="L42" t="s">
        <v>440</v>
      </c>
      <c r="M42">
        <v>2603</v>
      </c>
      <c r="N42" t="s">
        <v>441</v>
      </c>
      <c r="O42">
        <v>1721</v>
      </c>
      <c r="P42" t="s">
        <v>213</v>
      </c>
      <c r="Q42">
        <v>9034697</v>
      </c>
      <c r="R42">
        <v>172811625</v>
      </c>
      <c r="S42">
        <v>37.145919999999997</v>
      </c>
      <c r="T42">
        <v>-93.429119999999998</v>
      </c>
      <c r="U42" t="s">
        <v>213</v>
      </c>
      <c r="V42">
        <v>0</v>
      </c>
      <c r="W42" t="s">
        <v>213</v>
      </c>
      <c r="X42" t="s">
        <v>213</v>
      </c>
      <c r="Y42" t="s">
        <v>436</v>
      </c>
      <c r="Z42" t="s">
        <v>213</v>
      </c>
    </row>
    <row r="43" spans="1:26" x14ac:dyDescent="0.25">
      <c r="A43">
        <v>8</v>
      </c>
      <c r="B43" t="s">
        <v>419</v>
      </c>
      <c r="C43" t="s">
        <v>435</v>
      </c>
      <c r="D43">
        <v>1.806</v>
      </c>
      <c r="E43" t="s">
        <v>428</v>
      </c>
      <c r="F43">
        <v>42699</v>
      </c>
      <c r="G43" t="s">
        <v>442</v>
      </c>
      <c r="H43">
        <v>160079484</v>
      </c>
      <c r="I43">
        <v>653786</v>
      </c>
      <c r="J43" t="s">
        <v>423</v>
      </c>
      <c r="K43" t="s">
        <v>424</v>
      </c>
      <c r="L43" t="s">
        <v>440</v>
      </c>
      <c r="M43">
        <v>2603</v>
      </c>
      <c r="N43" t="s">
        <v>426</v>
      </c>
      <c r="O43">
        <v>923</v>
      </c>
      <c r="P43" t="s">
        <v>213</v>
      </c>
      <c r="Q43">
        <v>4234734</v>
      </c>
      <c r="R43">
        <v>166237774</v>
      </c>
      <c r="S43">
        <v>37.175040000000003</v>
      </c>
      <c r="T43">
        <v>-93.425020000000004</v>
      </c>
      <c r="U43" t="s">
        <v>213</v>
      </c>
      <c r="V43">
        <v>0</v>
      </c>
      <c r="W43" t="s">
        <v>213</v>
      </c>
      <c r="X43" t="s">
        <v>213</v>
      </c>
      <c r="Y43" t="s">
        <v>436</v>
      </c>
      <c r="Z43" t="s">
        <v>213</v>
      </c>
    </row>
    <row r="44" spans="1:26" x14ac:dyDescent="0.25">
      <c r="A44">
        <v>9</v>
      </c>
      <c r="B44" t="s">
        <v>419</v>
      </c>
      <c r="C44" t="s">
        <v>420</v>
      </c>
      <c r="D44">
        <v>265.09199999999998</v>
      </c>
      <c r="E44" t="s">
        <v>421</v>
      </c>
      <c r="F44">
        <v>42704</v>
      </c>
      <c r="G44" t="s">
        <v>422</v>
      </c>
      <c r="H44">
        <v>160079487</v>
      </c>
      <c r="I44">
        <v>532775</v>
      </c>
      <c r="J44" t="s">
        <v>423</v>
      </c>
      <c r="K44" t="s">
        <v>424</v>
      </c>
      <c r="L44" t="s">
        <v>425</v>
      </c>
      <c r="M44">
        <v>7783</v>
      </c>
      <c r="N44" t="s">
        <v>437</v>
      </c>
      <c r="O44">
        <v>1543</v>
      </c>
      <c r="P44" t="s">
        <v>213</v>
      </c>
      <c r="Q44">
        <v>35481249</v>
      </c>
      <c r="R44">
        <v>214800362</v>
      </c>
      <c r="S44">
        <v>37.145710000000001</v>
      </c>
      <c r="T44">
        <v>-93.429339999999996</v>
      </c>
      <c r="U44" t="s">
        <v>213</v>
      </c>
      <c r="V44">
        <v>0</v>
      </c>
      <c r="W44" t="s">
        <v>213</v>
      </c>
      <c r="X44" t="s">
        <v>213</v>
      </c>
      <c r="Y44" t="s">
        <v>427</v>
      </c>
      <c r="Z44" t="s">
        <v>213</v>
      </c>
    </row>
    <row r="45" spans="1:26" x14ac:dyDescent="0.25">
      <c r="A45">
        <v>10</v>
      </c>
      <c r="B45" t="s">
        <v>419</v>
      </c>
      <c r="C45" t="s">
        <v>420</v>
      </c>
      <c r="D45">
        <v>265.08199999999999</v>
      </c>
      <c r="E45" t="s">
        <v>421</v>
      </c>
      <c r="F45">
        <v>42577</v>
      </c>
      <c r="G45" t="s">
        <v>422</v>
      </c>
      <c r="H45">
        <v>160054424</v>
      </c>
      <c r="I45">
        <v>532775</v>
      </c>
      <c r="J45" t="s">
        <v>423</v>
      </c>
      <c r="K45" t="s">
        <v>424</v>
      </c>
      <c r="L45" t="s">
        <v>425</v>
      </c>
      <c r="M45">
        <v>7783</v>
      </c>
      <c r="N45" t="s">
        <v>441</v>
      </c>
      <c r="O45">
        <v>1537</v>
      </c>
      <c r="P45" t="s">
        <v>213</v>
      </c>
      <c r="Q45">
        <v>35479913</v>
      </c>
      <c r="R45">
        <v>214796374</v>
      </c>
      <c r="S45">
        <v>37.145780000000002</v>
      </c>
      <c r="T45">
        <v>-93.429199999999994</v>
      </c>
      <c r="U45" t="s">
        <v>213</v>
      </c>
      <c r="V45">
        <v>0</v>
      </c>
      <c r="W45" t="s">
        <v>213</v>
      </c>
      <c r="X45" t="s">
        <v>213</v>
      </c>
      <c r="Y45" t="s">
        <v>427</v>
      </c>
      <c r="Z45" t="s">
        <v>213</v>
      </c>
    </row>
    <row r="46" spans="1:26" x14ac:dyDescent="0.25">
      <c r="A46">
        <v>11</v>
      </c>
      <c r="B46" t="s">
        <v>419</v>
      </c>
      <c r="C46" t="s">
        <v>435</v>
      </c>
      <c r="D46">
        <v>3.8260000000000001</v>
      </c>
      <c r="E46" t="s">
        <v>430</v>
      </c>
      <c r="F46">
        <v>42667</v>
      </c>
      <c r="G46" t="s">
        <v>442</v>
      </c>
      <c r="H46">
        <v>160073549</v>
      </c>
      <c r="I46">
        <v>532386</v>
      </c>
      <c r="J46" t="s">
        <v>423</v>
      </c>
      <c r="K46" t="s">
        <v>424</v>
      </c>
      <c r="L46" t="s">
        <v>425</v>
      </c>
      <c r="M46">
        <v>2603</v>
      </c>
      <c r="N46" t="s">
        <v>433</v>
      </c>
      <c r="O46">
        <v>851</v>
      </c>
      <c r="P46" t="s">
        <v>213</v>
      </c>
      <c r="Q46">
        <v>10693157</v>
      </c>
      <c r="R46">
        <v>176328725</v>
      </c>
      <c r="S46">
        <v>37.147190000000002</v>
      </c>
      <c r="T46">
        <v>-93.430199999999999</v>
      </c>
      <c r="U46" t="s">
        <v>213</v>
      </c>
      <c r="V46">
        <v>0</v>
      </c>
      <c r="W46" t="s">
        <v>213</v>
      </c>
      <c r="X46" t="s">
        <v>213</v>
      </c>
      <c r="Y46" t="s">
        <v>436</v>
      </c>
      <c r="Z46" t="s">
        <v>213</v>
      </c>
    </row>
    <row r="47" spans="1:26" x14ac:dyDescent="0.25">
      <c r="A47">
        <v>12</v>
      </c>
      <c r="B47" t="s">
        <v>419</v>
      </c>
      <c r="C47" t="s">
        <v>435</v>
      </c>
      <c r="D47">
        <v>0.93300000000000005</v>
      </c>
      <c r="E47" t="s">
        <v>443</v>
      </c>
      <c r="F47">
        <v>42521</v>
      </c>
      <c r="G47" t="s">
        <v>422</v>
      </c>
      <c r="H47">
        <v>160040214</v>
      </c>
      <c r="I47">
        <v>1067307</v>
      </c>
      <c r="J47" t="s">
        <v>444</v>
      </c>
      <c r="K47" t="s">
        <v>424</v>
      </c>
      <c r="L47" t="s">
        <v>425</v>
      </c>
      <c r="M47">
        <v>2603</v>
      </c>
      <c r="N47" t="s">
        <v>441</v>
      </c>
      <c r="O47">
        <v>2204</v>
      </c>
      <c r="P47" t="s">
        <v>213</v>
      </c>
      <c r="Q47">
        <v>0</v>
      </c>
      <c r="R47">
        <v>157998551</v>
      </c>
      <c r="S47">
        <v>37.187579999999997</v>
      </c>
      <c r="T47">
        <v>-93.423540000000003</v>
      </c>
      <c r="U47" t="s">
        <v>213</v>
      </c>
      <c r="V47">
        <v>0</v>
      </c>
      <c r="W47" t="s">
        <v>434</v>
      </c>
      <c r="X47" t="s">
        <v>213</v>
      </c>
      <c r="Y47" t="s">
        <v>436</v>
      </c>
      <c r="Z47" t="s">
        <v>213</v>
      </c>
    </row>
    <row r="48" spans="1:26" x14ac:dyDescent="0.25">
      <c r="A48">
        <v>13</v>
      </c>
      <c r="B48" t="s">
        <v>419</v>
      </c>
      <c r="C48" t="s">
        <v>445</v>
      </c>
      <c r="D48">
        <v>1.8919999999999999</v>
      </c>
      <c r="E48" t="s">
        <v>434</v>
      </c>
      <c r="F48">
        <v>42458</v>
      </c>
      <c r="G48" t="s">
        <v>422</v>
      </c>
      <c r="H48">
        <v>160028104</v>
      </c>
      <c r="I48">
        <v>0</v>
      </c>
      <c r="J48" t="s">
        <v>423</v>
      </c>
      <c r="K48" t="s">
        <v>424</v>
      </c>
      <c r="L48" t="s">
        <v>425</v>
      </c>
      <c r="M48">
        <v>279258</v>
      </c>
      <c r="N48" t="s">
        <v>441</v>
      </c>
      <c r="O48">
        <v>1820</v>
      </c>
      <c r="P48" t="s">
        <v>434</v>
      </c>
      <c r="Q48">
        <v>10624992</v>
      </c>
      <c r="R48">
        <v>176155508</v>
      </c>
      <c r="S48">
        <v>37.175910000000002</v>
      </c>
      <c r="T48">
        <v>-93.42474</v>
      </c>
      <c r="U48" t="s">
        <v>213</v>
      </c>
      <c r="V48">
        <v>0</v>
      </c>
      <c r="W48" t="s">
        <v>213</v>
      </c>
      <c r="X48" t="s">
        <v>213</v>
      </c>
      <c r="Y48" t="s">
        <v>446</v>
      </c>
      <c r="Z48" t="s">
        <v>213</v>
      </c>
    </row>
    <row r="49" spans="1:26" x14ac:dyDescent="0.25">
      <c r="A49">
        <v>14</v>
      </c>
      <c r="B49" t="s">
        <v>419</v>
      </c>
      <c r="C49" t="s">
        <v>420</v>
      </c>
      <c r="D49">
        <v>265.15600000000001</v>
      </c>
      <c r="E49" t="s">
        <v>428</v>
      </c>
      <c r="F49">
        <v>42471</v>
      </c>
      <c r="G49" t="s">
        <v>442</v>
      </c>
      <c r="H49">
        <v>160034392</v>
      </c>
      <c r="I49">
        <v>0</v>
      </c>
      <c r="J49" t="s">
        <v>423</v>
      </c>
      <c r="K49" t="s">
        <v>424</v>
      </c>
      <c r="L49" t="s">
        <v>440</v>
      </c>
      <c r="M49">
        <v>7783</v>
      </c>
      <c r="N49" t="s">
        <v>433</v>
      </c>
      <c r="O49">
        <v>1016</v>
      </c>
      <c r="P49" t="s">
        <v>213</v>
      </c>
      <c r="Q49">
        <v>35478887</v>
      </c>
      <c r="R49">
        <v>214793316</v>
      </c>
      <c r="S49">
        <v>37.145189999999999</v>
      </c>
      <c r="T49">
        <v>-93.430310000000006</v>
      </c>
      <c r="U49" t="s">
        <v>213</v>
      </c>
      <c r="V49">
        <v>0</v>
      </c>
      <c r="W49" t="s">
        <v>213</v>
      </c>
      <c r="X49" t="s">
        <v>213</v>
      </c>
      <c r="Y49" t="s">
        <v>427</v>
      </c>
      <c r="Z49" t="s">
        <v>213</v>
      </c>
    </row>
    <row r="50" spans="1:26" x14ac:dyDescent="0.25">
      <c r="A50">
        <v>15</v>
      </c>
      <c r="B50" t="s">
        <v>419</v>
      </c>
      <c r="C50" t="s">
        <v>429</v>
      </c>
      <c r="D50">
        <v>75.594999999999999</v>
      </c>
      <c r="E50" t="s">
        <v>428</v>
      </c>
      <c r="F50">
        <v>42702</v>
      </c>
      <c r="G50" t="s">
        <v>442</v>
      </c>
      <c r="H50">
        <v>160079478</v>
      </c>
      <c r="I50">
        <v>532832</v>
      </c>
      <c r="J50" t="s">
        <v>438</v>
      </c>
      <c r="K50" t="s">
        <v>439</v>
      </c>
      <c r="L50" t="s">
        <v>440</v>
      </c>
      <c r="M50">
        <v>7782</v>
      </c>
      <c r="N50" t="s">
        <v>433</v>
      </c>
      <c r="O50">
        <v>2057</v>
      </c>
      <c r="P50" t="s">
        <v>213</v>
      </c>
      <c r="Q50">
        <v>26937271</v>
      </c>
      <c r="R50">
        <v>201856473</v>
      </c>
      <c r="S50">
        <v>37.145699999999998</v>
      </c>
      <c r="T50">
        <v>-93.428960000000004</v>
      </c>
      <c r="U50" t="s">
        <v>213</v>
      </c>
      <c r="V50">
        <v>0</v>
      </c>
      <c r="W50" t="s">
        <v>213</v>
      </c>
      <c r="X50" t="s">
        <v>213</v>
      </c>
      <c r="Y50" t="s">
        <v>427</v>
      </c>
      <c r="Z50" t="s">
        <v>213</v>
      </c>
    </row>
    <row r="51" spans="1:26" x14ac:dyDescent="0.25">
      <c r="A51">
        <v>16</v>
      </c>
      <c r="B51" t="s">
        <v>419</v>
      </c>
      <c r="C51" t="s">
        <v>435</v>
      </c>
      <c r="D51">
        <v>3.895</v>
      </c>
      <c r="E51" t="s">
        <v>447</v>
      </c>
      <c r="F51">
        <v>42729</v>
      </c>
      <c r="G51" t="s">
        <v>442</v>
      </c>
      <c r="H51">
        <v>160084664</v>
      </c>
      <c r="I51">
        <v>978773</v>
      </c>
      <c r="J51" t="s">
        <v>438</v>
      </c>
      <c r="K51" t="s">
        <v>439</v>
      </c>
      <c r="L51" t="s">
        <v>448</v>
      </c>
      <c r="M51">
        <v>2603</v>
      </c>
      <c r="N51" t="s">
        <v>449</v>
      </c>
      <c r="O51">
        <v>2234</v>
      </c>
      <c r="P51" t="s">
        <v>213</v>
      </c>
      <c r="Q51">
        <v>5161246</v>
      </c>
      <c r="R51">
        <v>167459270</v>
      </c>
      <c r="S51">
        <v>37.146360000000001</v>
      </c>
      <c r="T51">
        <v>-93.429509999999993</v>
      </c>
      <c r="U51" t="s">
        <v>213</v>
      </c>
      <c r="V51">
        <v>0</v>
      </c>
      <c r="W51" t="s">
        <v>450</v>
      </c>
      <c r="X51" t="s">
        <v>213</v>
      </c>
      <c r="Y51" t="s">
        <v>436</v>
      </c>
      <c r="Z51" t="s">
        <v>213</v>
      </c>
    </row>
    <row r="52" spans="1:26" x14ac:dyDescent="0.25">
      <c r="A52">
        <v>17</v>
      </c>
      <c r="B52" t="s">
        <v>419</v>
      </c>
      <c r="C52" t="s">
        <v>451</v>
      </c>
      <c r="D52">
        <v>4.7E-2</v>
      </c>
      <c r="E52" t="s">
        <v>421</v>
      </c>
      <c r="F52">
        <v>42710</v>
      </c>
      <c r="G52" t="s">
        <v>422</v>
      </c>
      <c r="H52">
        <v>160084940</v>
      </c>
      <c r="I52">
        <v>978774</v>
      </c>
      <c r="J52" t="s">
        <v>444</v>
      </c>
      <c r="K52" t="s">
        <v>424</v>
      </c>
      <c r="L52" t="s">
        <v>425</v>
      </c>
      <c r="M52">
        <v>934771</v>
      </c>
      <c r="N52" t="s">
        <v>441</v>
      </c>
      <c r="O52">
        <v>2039</v>
      </c>
      <c r="P52" t="s">
        <v>213</v>
      </c>
      <c r="Q52">
        <v>5138392</v>
      </c>
      <c r="R52">
        <v>167422918</v>
      </c>
      <c r="S52">
        <v>37.145609999999998</v>
      </c>
      <c r="T52">
        <v>-93.429599999999994</v>
      </c>
      <c r="U52" t="s">
        <v>213</v>
      </c>
      <c r="V52">
        <v>0</v>
      </c>
      <c r="W52" t="s">
        <v>213</v>
      </c>
      <c r="X52" t="s">
        <v>213</v>
      </c>
      <c r="Y52" t="s">
        <v>452</v>
      </c>
      <c r="Z52" t="s">
        <v>213</v>
      </c>
    </row>
    <row r="53" spans="1:26" x14ac:dyDescent="0.25">
      <c r="A53">
        <v>18</v>
      </c>
      <c r="B53" t="s">
        <v>419</v>
      </c>
      <c r="C53" t="s">
        <v>429</v>
      </c>
      <c r="D53">
        <v>75.593000000000004</v>
      </c>
      <c r="E53" t="s">
        <v>421</v>
      </c>
      <c r="F53">
        <v>42534</v>
      </c>
      <c r="G53" t="s">
        <v>422</v>
      </c>
      <c r="H53">
        <v>160047724</v>
      </c>
      <c r="I53">
        <v>532832</v>
      </c>
      <c r="J53" t="s">
        <v>423</v>
      </c>
      <c r="K53" t="s">
        <v>424</v>
      </c>
      <c r="L53" t="s">
        <v>425</v>
      </c>
      <c r="M53">
        <v>7782</v>
      </c>
      <c r="N53" t="s">
        <v>433</v>
      </c>
      <c r="O53">
        <v>754</v>
      </c>
      <c r="P53" t="s">
        <v>213</v>
      </c>
      <c r="Q53">
        <v>26935526</v>
      </c>
      <c r="R53">
        <v>201850617</v>
      </c>
      <c r="S53">
        <v>37.145679999999999</v>
      </c>
      <c r="T53">
        <v>-93.428989999999999</v>
      </c>
      <c r="U53" t="s">
        <v>213</v>
      </c>
      <c r="V53">
        <v>0</v>
      </c>
      <c r="W53" t="s">
        <v>213</v>
      </c>
      <c r="X53" t="s">
        <v>213</v>
      </c>
      <c r="Y53" t="s">
        <v>427</v>
      </c>
      <c r="Z53" t="s">
        <v>213</v>
      </c>
    </row>
    <row r="54" spans="1:26" x14ac:dyDescent="0.25">
      <c r="A54">
        <v>19</v>
      </c>
      <c r="B54" t="s">
        <v>419</v>
      </c>
      <c r="C54" t="s">
        <v>435</v>
      </c>
      <c r="D54">
        <v>1.7310000000000001</v>
      </c>
      <c r="E54" t="s">
        <v>421</v>
      </c>
      <c r="F54">
        <v>42537</v>
      </c>
      <c r="G54" t="s">
        <v>442</v>
      </c>
      <c r="H54">
        <v>160047740</v>
      </c>
      <c r="I54">
        <v>0</v>
      </c>
      <c r="J54" t="s">
        <v>444</v>
      </c>
      <c r="K54" t="s">
        <v>424</v>
      </c>
      <c r="L54" t="s">
        <v>425</v>
      </c>
      <c r="M54">
        <v>2603</v>
      </c>
      <c r="N54" t="s">
        <v>453</v>
      </c>
      <c r="O54">
        <v>2250</v>
      </c>
      <c r="P54" t="s">
        <v>213</v>
      </c>
      <c r="Q54">
        <v>1712785</v>
      </c>
      <c r="R54">
        <v>162709797</v>
      </c>
      <c r="S54">
        <v>37.176079999999999</v>
      </c>
      <c r="T54">
        <v>-93.424639999999997</v>
      </c>
      <c r="U54" t="s">
        <v>213</v>
      </c>
      <c r="V54">
        <v>0</v>
      </c>
      <c r="W54" t="s">
        <v>213</v>
      </c>
      <c r="X54" t="s">
        <v>213</v>
      </c>
      <c r="Y54" t="s">
        <v>436</v>
      </c>
      <c r="Z54" t="s">
        <v>213</v>
      </c>
    </row>
    <row r="55" spans="1:26" x14ac:dyDescent="0.25">
      <c r="A55">
        <v>20</v>
      </c>
      <c r="B55" t="s">
        <v>419</v>
      </c>
      <c r="C55" t="s">
        <v>420</v>
      </c>
      <c r="D55">
        <v>265.08699999999999</v>
      </c>
      <c r="E55" t="s">
        <v>454</v>
      </c>
      <c r="F55">
        <v>42624</v>
      </c>
      <c r="G55" t="s">
        <v>431</v>
      </c>
      <c r="H55">
        <v>160046512</v>
      </c>
      <c r="I55">
        <v>532775</v>
      </c>
      <c r="J55" t="s">
        <v>444</v>
      </c>
      <c r="K55" t="s">
        <v>424</v>
      </c>
      <c r="L55" t="s">
        <v>425</v>
      </c>
      <c r="M55">
        <v>7783</v>
      </c>
      <c r="N55" t="s">
        <v>449</v>
      </c>
      <c r="O55">
        <v>125</v>
      </c>
      <c r="P55" t="s">
        <v>455</v>
      </c>
      <c r="Q55">
        <v>35479502</v>
      </c>
      <c r="R55">
        <v>214795124</v>
      </c>
      <c r="S55">
        <v>37.14575</v>
      </c>
      <c r="T55">
        <v>-93.429270000000002</v>
      </c>
      <c r="U55" t="s">
        <v>213</v>
      </c>
      <c r="V55">
        <v>0</v>
      </c>
      <c r="W55" t="s">
        <v>456</v>
      </c>
      <c r="X55" t="s">
        <v>213</v>
      </c>
      <c r="Y55" t="s">
        <v>427</v>
      </c>
      <c r="Z55" t="s">
        <v>213</v>
      </c>
    </row>
    <row r="56" spans="1:26" x14ac:dyDescent="0.25">
      <c r="A56">
        <v>21</v>
      </c>
      <c r="B56" t="s">
        <v>419</v>
      </c>
      <c r="C56" t="s">
        <v>429</v>
      </c>
      <c r="D56">
        <v>75.591999999999999</v>
      </c>
      <c r="E56" t="s">
        <v>421</v>
      </c>
      <c r="F56">
        <v>42548</v>
      </c>
      <c r="G56" t="s">
        <v>422</v>
      </c>
      <c r="H56">
        <v>160048359</v>
      </c>
      <c r="I56">
        <v>532832</v>
      </c>
      <c r="J56" t="s">
        <v>423</v>
      </c>
      <c r="K56" t="s">
        <v>424</v>
      </c>
      <c r="L56" t="s">
        <v>440</v>
      </c>
      <c r="M56">
        <v>7782</v>
      </c>
      <c r="N56" t="s">
        <v>433</v>
      </c>
      <c r="O56">
        <v>752</v>
      </c>
      <c r="P56" t="s">
        <v>213</v>
      </c>
      <c r="Q56">
        <v>26935570</v>
      </c>
      <c r="R56">
        <v>201850758</v>
      </c>
      <c r="S56">
        <v>37.145679999999999</v>
      </c>
      <c r="T56">
        <v>-93.429000000000002</v>
      </c>
      <c r="U56" t="s">
        <v>213</v>
      </c>
      <c r="V56">
        <v>0</v>
      </c>
      <c r="W56" t="s">
        <v>213</v>
      </c>
      <c r="X56" t="s">
        <v>213</v>
      </c>
      <c r="Y56" t="s">
        <v>427</v>
      </c>
      <c r="Z56" t="s">
        <v>213</v>
      </c>
    </row>
    <row r="57" spans="1:26" x14ac:dyDescent="0.25">
      <c r="A57">
        <v>22</v>
      </c>
      <c r="B57" t="s">
        <v>419</v>
      </c>
      <c r="C57" t="s">
        <v>435</v>
      </c>
      <c r="D57">
        <v>2.746</v>
      </c>
      <c r="E57" t="s">
        <v>447</v>
      </c>
      <c r="F57">
        <v>42581</v>
      </c>
      <c r="G57" t="s">
        <v>442</v>
      </c>
      <c r="H57">
        <v>160054415</v>
      </c>
      <c r="I57">
        <v>528495</v>
      </c>
      <c r="J57" t="s">
        <v>438</v>
      </c>
      <c r="K57" t="s">
        <v>424</v>
      </c>
      <c r="L57" t="s">
        <v>425</v>
      </c>
      <c r="M57">
        <v>2603</v>
      </c>
      <c r="N57" t="s">
        <v>432</v>
      </c>
      <c r="O57">
        <v>2156</v>
      </c>
      <c r="P57" t="s">
        <v>213</v>
      </c>
      <c r="Q57">
        <v>10626843</v>
      </c>
      <c r="R57">
        <v>176160110</v>
      </c>
      <c r="S57">
        <v>37.161610000000003</v>
      </c>
      <c r="T57">
        <v>-93.424279999999996</v>
      </c>
      <c r="U57" t="s">
        <v>213</v>
      </c>
      <c r="V57">
        <v>0</v>
      </c>
      <c r="W57" t="s">
        <v>457</v>
      </c>
      <c r="X57" t="s">
        <v>213</v>
      </c>
      <c r="Y57" t="s">
        <v>436</v>
      </c>
      <c r="Z57" t="s">
        <v>213</v>
      </c>
    </row>
    <row r="58" spans="1:26" x14ac:dyDescent="0.25">
      <c r="A58">
        <v>23</v>
      </c>
      <c r="B58" t="s">
        <v>419</v>
      </c>
      <c r="C58" t="s">
        <v>435</v>
      </c>
      <c r="D58">
        <v>1.806</v>
      </c>
      <c r="E58" t="s">
        <v>458</v>
      </c>
      <c r="F58">
        <v>42582</v>
      </c>
      <c r="G58" t="s">
        <v>442</v>
      </c>
      <c r="H58">
        <v>160054417</v>
      </c>
      <c r="I58">
        <v>653786</v>
      </c>
      <c r="J58" t="s">
        <v>423</v>
      </c>
      <c r="K58" t="s">
        <v>424</v>
      </c>
      <c r="L58" t="s">
        <v>425</v>
      </c>
      <c r="M58">
        <v>2603</v>
      </c>
      <c r="N58" t="s">
        <v>449</v>
      </c>
      <c r="O58">
        <v>1545</v>
      </c>
      <c r="P58" t="s">
        <v>213</v>
      </c>
      <c r="Q58">
        <v>1759396</v>
      </c>
      <c r="R58">
        <v>162771146</v>
      </c>
      <c r="S58">
        <v>37.175040000000003</v>
      </c>
      <c r="T58">
        <v>-93.425020000000004</v>
      </c>
      <c r="U58" t="s">
        <v>213</v>
      </c>
      <c r="V58">
        <v>0</v>
      </c>
      <c r="W58" t="s">
        <v>213</v>
      </c>
      <c r="X58" t="s">
        <v>213</v>
      </c>
      <c r="Y58" t="s">
        <v>436</v>
      </c>
      <c r="Z58" t="s">
        <v>213</v>
      </c>
    </row>
    <row r="59" spans="1:26" x14ac:dyDescent="0.25">
      <c r="A59">
        <v>24</v>
      </c>
      <c r="B59" t="s">
        <v>419</v>
      </c>
      <c r="C59" t="s">
        <v>435</v>
      </c>
      <c r="D59">
        <v>1.667</v>
      </c>
      <c r="E59" t="s">
        <v>459</v>
      </c>
      <c r="F59">
        <v>42657</v>
      </c>
      <c r="G59" t="s">
        <v>422</v>
      </c>
      <c r="H59">
        <v>160073553</v>
      </c>
      <c r="I59">
        <v>653787</v>
      </c>
      <c r="J59" t="s">
        <v>423</v>
      </c>
      <c r="K59" t="s">
        <v>424</v>
      </c>
      <c r="L59" t="s">
        <v>425</v>
      </c>
      <c r="M59">
        <v>2603</v>
      </c>
      <c r="N59" t="s">
        <v>426</v>
      </c>
      <c r="O59">
        <v>1118</v>
      </c>
      <c r="P59" t="s">
        <v>213</v>
      </c>
      <c r="Q59">
        <v>4177709</v>
      </c>
      <c r="R59">
        <v>166162383</v>
      </c>
      <c r="S59">
        <v>37.17698</v>
      </c>
      <c r="T59">
        <v>-93.424310000000006</v>
      </c>
      <c r="U59" t="s">
        <v>213</v>
      </c>
      <c r="V59">
        <v>0</v>
      </c>
      <c r="W59" t="s">
        <v>213</v>
      </c>
      <c r="X59" t="s">
        <v>213</v>
      </c>
      <c r="Y59" t="s">
        <v>436</v>
      </c>
      <c r="Z59" t="s">
        <v>213</v>
      </c>
    </row>
    <row r="60" spans="1:26" x14ac:dyDescent="0.25">
      <c r="A60">
        <v>25</v>
      </c>
      <c r="B60" t="s">
        <v>419</v>
      </c>
      <c r="C60" t="s">
        <v>445</v>
      </c>
      <c r="D60">
        <v>1.8919999999999999</v>
      </c>
      <c r="E60" t="s">
        <v>447</v>
      </c>
      <c r="F60">
        <v>42664</v>
      </c>
      <c r="G60" t="s">
        <v>422</v>
      </c>
      <c r="H60">
        <v>160073554</v>
      </c>
      <c r="I60">
        <v>0</v>
      </c>
      <c r="J60" t="s">
        <v>423</v>
      </c>
      <c r="K60" t="s">
        <v>424</v>
      </c>
      <c r="L60" t="s">
        <v>425</v>
      </c>
      <c r="M60">
        <v>279258</v>
      </c>
      <c r="N60" t="s">
        <v>426</v>
      </c>
      <c r="O60">
        <v>1527</v>
      </c>
      <c r="P60" t="s">
        <v>213</v>
      </c>
      <c r="Q60">
        <v>10693241</v>
      </c>
      <c r="R60">
        <v>176328965</v>
      </c>
      <c r="S60">
        <v>37.175910000000002</v>
      </c>
      <c r="T60">
        <v>-93.42474</v>
      </c>
      <c r="U60" t="s">
        <v>213</v>
      </c>
      <c r="V60">
        <v>0</v>
      </c>
      <c r="W60" t="s">
        <v>460</v>
      </c>
      <c r="X60" t="s">
        <v>213</v>
      </c>
      <c r="Y60" t="s">
        <v>446</v>
      </c>
      <c r="Z60" t="s">
        <v>213</v>
      </c>
    </row>
    <row r="61" spans="1:26" x14ac:dyDescent="0.25">
      <c r="A61">
        <v>26</v>
      </c>
      <c r="B61" t="s">
        <v>419</v>
      </c>
      <c r="C61" t="s">
        <v>435</v>
      </c>
      <c r="D61">
        <v>1.7969999999999999</v>
      </c>
      <c r="E61" t="s">
        <v>447</v>
      </c>
      <c r="F61">
        <v>42483</v>
      </c>
      <c r="G61" t="s">
        <v>422</v>
      </c>
      <c r="H61">
        <v>160034132</v>
      </c>
      <c r="I61">
        <v>653786</v>
      </c>
      <c r="J61" t="s">
        <v>444</v>
      </c>
      <c r="K61" t="s">
        <v>424</v>
      </c>
      <c r="L61" t="s">
        <v>425</v>
      </c>
      <c r="M61">
        <v>2603</v>
      </c>
      <c r="N61" t="s">
        <v>432</v>
      </c>
      <c r="O61">
        <v>745</v>
      </c>
      <c r="P61" t="s">
        <v>455</v>
      </c>
      <c r="Q61">
        <v>0</v>
      </c>
      <c r="R61">
        <v>157986170</v>
      </c>
      <c r="S61">
        <v>37.175159999999998</v>
      </c>
      <c r="T61">
        <v>-93.424980000000005</v>
      </c>
      <c r="U61" t="s">
        <v>213</v>
      </c>
      <c r="V61">
        <v>0</v>
      </c>
      <c r="W61" t="s">
        <v>461</v>
      </c>
      <c r="X61" t="s">
        <v>213</v>
      </c>
      <c r="Y61" t="s">
        <v>436</v>
      </c>
      <c r="Z61" t="s">
        <v>213</v>
      </c>
    </row>
    <row r="62" spans="1:26" x14ac:dyDescent="0.25">
      <c r="A62">
        <v>27</v>
      </c>
      <c r="B62" t="s">
        <v>419</v>
      </c>
      <c r="C62" t="s">
        <v>462</v>
      </c>
      <c r="D62">
        <v>0.01</v>
      </c>
      <c r="E62" t="s">
        <v>421</v>
      </c>
      <c r="F62">
        <v>42506</v>
      </c>
      <c r="G62" t="s">
        <v>422</v>
      </c>
      <c r="H62">
        <v>160040310</v>
      </c>
      <c r="I62">
        <v>532832</v>
      </c>
      <c r="J62" t="s">
        <v>423</v>
      </c>
      <c r="K62" t="s">
        <v>439</v>
      </c>
      <c r="L62" t="s">
        <v>440</v>
      </c>
      <c r="M62">
        <v>2611</v>
      </c>
      <c r="N62" t="s">
        <v>433</v>
      </c>
      <c r="O62">
        <v>901</v>
      </c>
      <c r="P62" t="s">
        <v>213</v>
      </c>
      <c r="Q62">
        <v>8981748</v>
      </c>
      <c r="R62">
        <v>172669317</v>
      </c>
      <c r="S62">
        <v>37.14573</v>
      </c>
      <c r="T62">
        <v>-93.428979999999996</v>
      </c>
      <c r="U62" t="s">
        <v>213</v>
      </c>
      <c r="V62">
        <v>0</v>
      </c>
      <c r="W62" t="s">
        <v>213</v>
      </c>
      <c r="X62" t="s">
        <v>213</v>
      </c>
      <c r="Y62" t="s">
        <v>436</v>
      </c>
      <c r="Z62" t="s">
        <v>213</v>
      </c>
    </row>
    <row r="63" spans="1:26" x14ac:dyDescent="0.25">
      <c r="A63">
        <v>28</v>
      </c>
      <c r="B63" t="s">
        <v>419</v>
      </c>
      <c r="C63" t="s">
        <v>463</v>
      </c>
      <c r="D63">
        <v>0.20300000000000001</v>
      </c>
      <c r="E63" t="s">
        <v>464</v>
      </c>
      <c r="F63">
        <v>42821</v>
      </c>
      <c r="G63" t="s">
        <v>442</v>
      </c>
      <c r="H63">
        <v>170021977</v>
      </c>
      <c r="I63">
        <v>0</v>
      </c>
      <c r="J63" t="s">
        <v>423</v>
      </c>
      <c r="K63" t="s">
        <v>439</v>
      </c>
      <c r="L63" t="s">
        <v>448</v>
      </c>
      <c r="M63">
        <v>1050977</v>
      </c>
      <c r="N63" t="s">
        <v>433</v>
      </c>
      <c r="O63">
        <v>704</v>
      </c>
      <c r="P63" t="s">
        <v>213</v>
      </c>
      <c r="Q63">
        <v>6624276</v>
      </c>
      <c r="R63">
        <v>169569122</v>
      </c>
      <c r="S63">
        <v>37.187869999999997</v>
      </c>
      <c r="T63">
        <v>-93.424120000000002</v>
      </c>
      <c r="U63" t="s">
        <v>465</v>
      </c>
      <c r="V63">
        <v>0</v>
      </c>
      <c r="W63" t="s">
        <v>213</v>
      </c>
      <c r="X63" t="s">
        <v>213</v>
      </c>
      <c r="Y63" t="s">
        <v>466</v>
      </c>
      <c r="Z63" t="s">
        <v>213</v>
      </c>
    </row>
    <row r="64" spans="1:26" x14ac:dyDescent="0.25">
      <c r="A64">
        <v>29</v>
      </c>
      <c r="B64" t="s">
        <v>419</v>
      </c>
      <c r="C64" t="s">
        <v>420</v>
      </c>
      <c r="D64">
        <v>265.05900000000003</v>
      </c>
      <c r="E64" t="s">
        <v>421</v>
      </c>
      <c r="F64">
        <v>42894</v>
      </c>
      <c r="G64" t="s">
        <v>422</v>
      </c>
      <c r="H64">
        <v>170035474</v>
      </c>
      <c r="I64">
        <v>978772</v>
      </c>
      <c r="J64" t="s">
        <v>423</v>
      </c>
      <c r="K64" t="s">
        <v>424</v>
      </c>
      <c r="L64" t="s">
        <v>425</v>
      </c>
      <c r="M64">
        <v>7783</v>
      </c>
      <c r="N64" t="s">
        <v>453</v>
      </c>
      <c r="O64">
        <v>1458</v>
      </c>
      <c r="P64" t="s">
        <v>213</v>
      </c>
      <c r="Q64">
        <v>35489192</v>
      </c>
      <c r="R64">
        <v>214826815</v>
      </c>
      <c r="S64">
        <v>37.145969999999998</v>
      </c>
      <c r="T64">
        <v>-93.428839999999994</v>
      </c>
      <c r="U64" t="s">
        <v>467</v>
      </c>
      <c r="V64">
        <v>0</v>
      </c>
      <c r="W64" t="s">
        <v>213</v>
      </c>
      <c r="X64" t="s">
        <v>213</v>
      </c>
      <c r="Y64" t="s">
        <v>427</v>
      </c>
      <c r="Z64" t="s">
        <v>213</v>
      </c>
    </row>
    <row r="65" spans="1:26" x14ac:dyDescent="0.25">
      <c r="A65">
        <v>30</v>
      </c>
      <c r="B65" t="s">
        <v>419</v>
      </c>
      <c r="C65" t="s">
        <v>435</v>
      </c>
      <c r="D65">
        <v>0.54600000000000004</v>
      </c>
      <c r="E65" t="s">
        <v>468</v>
      </c>
      <c r="F65">
        <v>42868</v>
      </c>
      <c r="G65" t="s">
        <v>422</v>
      </c>
      <c r="H65">
        <v>170030421</v>
      </c>
      <c r="I65">
        <v>0</v>
      </c>
      <c r="J65" t="s">
        <v>444</v>
      </c>
      <c r="K65" t="s">
        <v>424</v>
      </c>
      <c r="L65" t="s">
        <v>425</v>
      </c>
      <c r="M65">
        <v>2603</v>
      </c>
      <c r="N65" t="s">
        <v>432</v>
      </c>
      <c r="O65">
        <v>214</v>
      </c>
      <c r="P65" t="s">
        <v>213</v>
      </c>
      <c r="Q65">
        <v>7807814</v>
      </c>
      <c r="R65">
        <v>171299622</v>
      </c>
      <c r="S65">
        <v>37.193190000000001</v>
      </c>
      <c r="T65">
        <v>-93.423299999999998</v>
      </c>
      <c r="U65" t="s">
        <v>467</v>
      </c>
      <c r="V65">
        <v>0</v>
      </c>
      <c r="W65" t="s">
        <v>457</v>
      </c>
      <c r="X65" t="s">
        <v>213</v>
      </c>
      <c r="Y65" t="s">
        <v>436</v>
      </c>
      <c r="Z65" t="s">
        <v>213</v>
      </c>
    </row>
    <row r="66" spans="1:26" x14ac:dyDescent="0.25">
      <c r="A66">
        <v>31</v>
      </c>
      <c r="B66" t="s">
        <v>419</v>
      </c>
      <c r="C66" t="s">
        <v>435</v>
      </c>
      <c r="D66">
        <v>1.6659999999999999</v>
      </c>
      <c r="E66" t="s">
        <v>447</v>
      </c>
      <c r="F66">
        <v>42888</v>
      </c>
      <c r="G66" t="s">
        <v>422</v>
      </c>
      <c r="H66">
        <v>170035306</v>
      </c>
      <c r="I66">
        <v>653787</v>
      </c>
      <c r="J66" t="s">
        <v>423</v>
      </c>
      <c r="K66" t="s">
        <v>424</v>
      </c>
      <c r="L66" t="s">
        <v>425</v>
      </c>
      <c r="M66">
        <v>2603</v>
      </c>
      <c r="N66" t="s">
        <v>426</v>
      </c>
      <c r="O66">
        <v>1702</v>
      </c>
      <c r="P66" t="s">
        <v>455</v>
      </c>
      <c r="Q66">
        <v>7904972</v>
      </c>
      <c r="R66">
        <v>171507435</v>
      </c>
      <c r="S66">
        <v>37.176990000000004</v>
      </c>
      <c r="T66">
        <v>-93.424300000000002</v>
      </c>
      <c r="U66" t="s">
        <v>467</v>
      </c>
      <c r="V66">
        <v>0</v>
      </c>
      <c r="W66" t="s">
        <v>469</v>
      </c>
      <c r="X66" t="s">
        <v>213</v>
      </c>
      <c r="Y66" t="s">
        <v>436</v>
      </c>
      <c r="Z66" t="s">
        <v>213</v>
      </c>
    </row>
    <row r="67" spans="1:26" x14ac:dyDescent="0.25">
      <c r="A67">
        <v>32</v>
      </c>
      <c r="B67" t="s">
        <v>419</v>
      </c>
      <c r="C67" t="s">
        <v>451</v>
      </c>
      <c r="D67">
        <v>4.1000000000000002E-2</v>
      </c>
      <c r="E67" t="s">
        <v>421</v>
      </c>
      <c r="F67">
        <v>42849</v>
      </c>
      <c r="G67" t="s">
        <v>442</v>
      </c>
      <c r="H67">
        <v>170025069</v>
      </c>
      <c r="I67">
        <v>978774</v>
      </c>
      <c r="J67" t="s">
        <v>423</v>
      </c>
      <c r="K67" t="s">
        <v>424</v>
      </c>
      <c r="L67" t="s">
        <v>425</v>
      </c>
      <c r="M67">
        <v>934771</v>
      </c>
      <c r="N67" t="s">
        <v>433</v>
      </c>
      <c r="O67">
        <v>1801</v>
      </c>
      <c r="P67" t="s">
        <v>213</v>
      </c>
      <c r="Q67">
        <v>7654596</v>
      </c>
      <c r="R67">
        <v>170962889</v>
      </c>
      <c r="S67">
        <v>37.145690000000002</v>
      </c>
      <c r="T67">
        <v>-93.429550000000006</v>
      </c>
      <c r="U67" t="s">
        <v>467</v>
      </c>
      <c r="V67">
        <v>0</v>
      </c>
      <c r="W67" t="s">
        <v>213</v>
      </c>
      <c r="X67" t="s">
        <v>213</v>
      </c>
      <c r="Y67" t="s">
        <v>452</v>
      </c>
      <c r="Z67" t="s">
        <v>213</v>
      </c>
    </row>
    <row r="68" spans="1:26" x14ac:dyDescent="0.25">
      <c r="A68">
        <v>33</v>
      </c>
      <c r="B68" t="s">
        <v>419</v>
      </c>
      <c r="C68" t="s">
        <v>420</v>
      </c>
      <c r="D68">
        <v>265.05399999999997</v>
      </c>
      <c r="E68" t="s">
        <v>421</v>
      </c>
      <c r="F68">
        <v>42896</v>
      </c>
      <c r="G68" t="s">
        <v>442</v>
      </c>
      <c r="H68">
        <v>170035312</v>
      </c>
      <c r="I68">
        <v>978772</v>
      </c>
      <c r="J68" t="s">
        <v>423</v>
      </c>
      <c r="K68" t="s">
        <v>424</v>
      </c>
      <c r="L68" t="s">
        <v>425</v>
      </c>
      <c r="M68">
        <v>7783</v>
      </c>
      <c r="N68" t="s">
        <v>432</v>
      </c>
      <c r="O68">
        <v>1647</v>
      </c>
      <c r="P68" t="s">
        <v>213</v>
      </c>
      <c r="Q68">
        <v>35489177</v>
      </c>
      <c r="R68">
        <v>214826764</v>
      </c>
      <c r="S68">
        <v>37.146009999999997</v>
      </c>
      <c r="T68">
        <v>-93.42877</v>
      </c>
      <c r="U68" t="s">
        <v>467</v>
      </c>
      <c r="V68">
        <v>0</v>
      </c>
      <c r="W68" t="s">
        <v>213</v>
      </c>
      <c r="X68" t="s">
        <v>213</v>
      </c>
      <c r="Y68" t="s">
        <v>427</v>
      </c>
      <c r="Z68" t="s">
        <v>213</v>
      </c>
    </row>
    <row r="69" spans="1:26" x14ac:dyDescent="0.25">
      <c r="A69">
        <v>34</v>
      </c>
      <c r="B69" t="s">
        <v>419</v>
      </c>
      <c r="C69" t="s">
        <v>470</v>
      </c>
      <c r="D69">
        <v>0.51200000000000001</v>
      </c>
      <c r="E69" t="s">
        <v>447</v>
      </c>
      <c r="F69">
        <v>42896</v>
      </c>
      <c r="G69" t="s">
        <v>442</v>
      </c>
      <c r="H69">
        <v>170035313</v>
      </c>
      <c r="I69">
        <v>1067305</v>
      </c>
      <c r="J69" t="s">
        <v>444</v>
      </c>
      <c r="K69" t="s">
        <v>424</v>
      </c>
      <c r="L69" t="s">
        <v>425</v>
      </c>
      <c r="M69">
        <v>1051821</v>
      </c>
      <c r="N69" t="s">
        <v>432</v>
      </c>
      <c r="O69">
        <v>2254</v>
      </c>
      <c r="P69" t="s">
        <v>213</v>
      </c>
      <c r="Q69">
        <v>7904986</v>
      </c>
      <c r="R69">
        <v>171507453</v>
      </c>
      <c r="S69">
        <v>37.181550000000001</v>
      </c>
      <c r="T69">
        <v>-93.423779999999994</v>
      </c>
      <c r="U69" t="s">
        <v>465</v>
      </c>
      <c r="V69">
        <v>0</v>
      </c>
      <c r="W69" t="s">
        <v>460</v>
      </c>
      <c r="X69" t="s">
        <v>213</v>
      </c>
      <c r="Y69" t="s">
        <v>466</v>
      </c>
      <c r="Z69" t="s">
        <v>213</v>
      </c>
    </row>
    <row r="70" spans="1:26" x14ac:dyDescent="0.25">
      <c r="A70">
        <v>35</v>
      </c>
      <c r="B70" t="s">
        <v>419</v>
      </c>
      <c r="C70" t="s">
        <v>451</v>
      </c>
      <c r="D70">
        <v>4.9000000000000002E-2</v>
      </c>
      <c r="E70" t="s">
        <v>421</v>
      </c>
      <c r="F70">
        <v>42867</v>
      </c>
      <c r="G70" t="s">
        <v>422</v>
      </c>
      <c r="H70">
        <v>170030422</v>
      </c>
      <c r="I70">
        <v>978774</v>
      </c>
      <c r="J70" t="s">
        <v>423</v>
      </c>
      <c r="K70" t="s">
        <v>424</v>
      </c>
      <c r="L70" t="s">
        <v>425</v>
      </c>
      <c r="M70">
        <v>934771</v>
      </c>
      <c r="N70" t="s">
        <v>426</v>
      </c>
      <c r="O70">
        <v>1115</v>
      </c>
      <c r="P70" t="s">
        <v>213</v>
      </c>
      <c r="Q70">
        <v>7804926</v>
      </c>
      <c r="R70">
        <v>171295091</v>
      </c>
      <c r="S70">
        <v>37.145580000000002</v>
      </c>
      <c r="T70">
        <v>-93.42962</v>
      </c>
      <c r="U70" t="s">
        <v>467</v>
      </c>
      <c r="V70">
        <v>0</v>
      </c>
      <c r="W70" t="s">
        <v>213</v>
      </c>
      <c r="X70" t="s">
        <v>213</v>
      </c>
      <c r="Y70" t="s">
        <v>452</v>
      </c>
      <c r="Z70" t="s">
        <v>213</v>
      </c>
    </row>
    <row r="71" spans="1:26" x14ac:dyDescent="0.25">
      <c r="A71">
        <v>36</v>
      </c>
      <c r="B71" t="s">
        <v>419</v>
      </c>
      <c r="C71" t="s">
        <v>420</v>
      </c>
      <c r="D71">
        <v>265.02999999999997</v>
      </c>
      <c r="E71" t="s">
        <v>421</v>
      </c>
      <c r="F71">
        <v>42877</v>
      </c>
      <c r="G71" t="s">
        <v>422</v>
      </c>
      <c r="H71">
        <v>170030424</v>
      </c>
      <c r="I71">
        <v>978772</v>
      </c>
      <c r="J71" t="s">
        <v>423</v>
      </c>
      <c r="K71" t="s">
        <v>424</v>
      </c>
      <c r="L71" t="s">
        <v>425</v>
      </c>
      <c r="M71">
        <v>7783</v>
      </c>
      <c r="N71" t="s">
        <v>433</v>
      </c>
      <c r="O71">
        <v>1705</v>
      </c>
      <c r="P71" t="s">
        <v>213</v>
      </c>
      <c r="Q71">
        <v>35488904</v>
      </c>
      <c r="R71">
        <v>214825958</v>
      </c>
      <c r="S71">
        <v>37.146189999999997</v>
      </c>
      <c r="T71">
        <v>-93.42841</v>
      </c>
      <c r="U71" t="s">
        <v>467</v>
      </c>
      <c r="V71">
        <v>0</v>
      </c>
      <c r="W71" t="s">
        <v>213</v>
      </c>
      <c r="X71" t="s">
        <v>213</v>
      </c>
      <c r="Y71" t="s">
        <v>427</v>
      </c>
      <c r="Z71" t="s">
        <v>213</v>
      </c>
    </row>
    <row r="72" spans="1:26" x14ac:dyDescent="0.25">
      <c r="A72">
        <v>37</v>
      </c>
      <c r="B72" t="s">
        <v>419</v>
      </c>
      <c r="C72" t="s">
        <v>435</v>
      </c>
      <c r="D72">
        <v>0.155</v>
      </c>
      <c r="E72" t="s">
        <v>421</v>
      </c>
      <c r="F72">
        <v>43059</v>
      </c>
      <c r="G72" t="s">
        <v>422</v>
      </c>
      <c r="H72">
        <v>3170031312</v>
      </c>
      <c r="I72">
        <v>519586</v>
      </c>
      <c r="J72" t="s">
        <v>438</v>
      </c>
      <c r="K72" t="s">
        <v>424</v>
      </c>
      <c r="L72" t="s">
        <v>425</v>
      </c>
      <c r="M72">
        <v>2603</v>
      </c>
      <c r="N72" t="s">
        <v>433</v>
      </c>
      <c r="O72">
        <v>1720</v>
      </c>
      <c r="P72" t="s">
        <v>213</v>
      </c>
      <c r="Q72">
        <v>5247048</v>
      </c>
      <c r="R72">
        <v>167589819</v>
      </c>
      <c r="S72">
        <v>37.198860000000003</v>
      </c>
      <c r="T72">
        <v>-93.423100000000005</v>
      </c>
      <c r="U72" t="s">
        <v>467</v>
      </c>
      <c r="V72">
        <v>0</v>
      </c>
      <c r="W72" t="s">
        <v>213</v>
      </c>
      <c r="X72" t="s">
        <v>213</v>
      </c>
      <c r="Y72" t="s">
        <v>436</v>
      </c>
      <c r="Z72" t="s">
        <v>213</v>
      </c>
    </row>
    <row r="73" spans="1:26" x14ac:dyDescent="0.25">
      <c r="A73">
        <v>38</v>
      </c>
      <c r="B73" t="s">
        <v>419</v>
      </c>
      <c r="C73" t="s">
        <v>429</v>
      </c>
      <c r="D73">
        <v>75.594999999999999</v>
      </c>
      <c r="E73" t="s">
        <v>430</v>
      </c>
      <c r="F73">
        <v>43077</v>
      </c>
      <c r="G73" t="s">
        <v>431</v>
      </c>
      <c r="H73">
        <v>170017812</v>
      </c>
      <c r="I73">
        <v>532832</v>
      </c>
      <c r="J73" t="s">
        <v>444</v>
      </c>
      <c r="K73" t="s">
        <v>424</v>
      </c>
      <c r="L73" t="s">
        <v>425</v>
      </c>
      <c r="M73">
        <v>7782</v>
      </c>
      <c r="N73" t="s">
        <v>426</v>
      </c>
      <c r="O73">
        <v>1953</v>
      </c>
      <c r="P73" t="s">
        <v>213</v>
      </c>
      <c r="Q73">
        <v>26945737</v>
      </c>
      <c r="R73">
        <v>201886591</v>
      </c>
      <c r="S73">
        <v>37.145699999999998</v>
      </c>
      <c r="T73">
        <v>-93.428960000000004</v>
      </c>
      <c r="U73" t="s">
        <v>467</v>
      </c>
      <c r="V73">
        <v>0</v>
      </c>
      <c r="W73" t="s">
        <v>213</v>
      </c>
      <c r="X73" t="s">
        <v>213</v>
      </c>
      <c r="Y73" t="s">
        <v>427</v>
      </c>
      <c r="Z73" t="s">
        <v>213</v>
      </c>
    </row>
    <row r="74" spans="1:26" x14ac:dyDescent="0.25">
      <c r="A74">
        <v>39</v>
      </c>
      <c r="B74" t="s">
        <v>419</v>
      </c>
      <c r="C74" t="s">
        <v>420</v>
      </c>
      <c r="D74">
        <v>265.07299999999998</v>
      </c>
      <c r="E74" t="s">
        <v>430</v>
      </c>
      <c r="F74">
        <v>42998</v>
      </c>
      <c r="G74" t="s">
        <v>431</v>
      </c>
      <c r="H74">
        <v>170011355</v>
      </c>
      <c r="I74">
        <v>532775</v>
      </c>
      <c r="J74" t="s">
        <v>423</v>
      </c>
      <c r="K74" t="s">
        <v>424</v>
      </c>
      <c r="L74" t="s">
        <v>425</v>
      </c>
      <c r="M74">
        <v>7783</v>
      </c>
      <c r="N74" t="s">
        <v>437</v>
      </c>
      <c r="O74">
        <v>1805</v>
      </c>
      <c r="P74" t="s">
        <v>213</v>
      </c>
      <c r="Q74">
        <v>35487907</v>
      </c>
      <c r="R74">
        <v>214822908</v>
      </c>
      <c r="S74">
        <v>37.145859999999999</v>
      </c>
      <c r="T74">
        <v>-93.429060000000007</v>
      </c>
      <c r="U74" t="s">
        <v>467</v>
      </c>
      <c r="V74">
        <v>0</v>
      </c>
      <c r="W74" t="s">
        <v>213</v>
      </c>
      <c r="X74" t="s">
        <v>213</v>
      </c>
      <c r="Y74" t="s">
        <v>427</v>
      </c>
      <c r="Z74" t="s">
        <v>213</v>
      </c>
    </row>
    <row r="75" spans="1:26" x14ac:dyDescent="0.25">
      <c r="A75">
        <v>40</v>
      </c>
      <c r="B75" t="s">
        <v>419</v>
      </c>
      <c r="C75" t="s">
        <v>471</v>
      </c>
      <c r="D75">
        <v>1.96</v>
      </c>
      <c r="E75" t="s">
        <v>447</v>
      </c>
      <c r="F75">
        <v>43068</v>
      </c>
      <c r="G75" t="s">
        <v>431</v>
      </c>
      <c r="H75">
        <v>170021228</v>
      </c>
      <c r="I75">
        <v>0</v>
      </c>
      <c r="J75" t="s">
        <v>423</v>
      </c>
      <c r="K75" t="s">
        <v>424</v>
      </c>
      <c r="L75" t="s">
        <v>425</v>
      </c>
      <c r="M75">
        <v>279259</v>
      </c>
      <c r="N75" t="s">
        <v>437</v>
      </c>
      <c r="O75">
        <v>1338</v>
      </c>
      <c r="P75" t="s">
        <v>213</v>
      </c>
      <c r="Q75">
        <v>35488426</v>
      </c>
      <c r="R75">
        <v>214824466</v>
      </c>
      <c r="S75">
        <v>37.175559999999997</v>
      </c>
      <c r="T75">
        <v>-93.423869999999994</v>
      </c>
      <c r="U75" t="s">
        <v>467</v>
      </c>
      <c r="V75">
        <v>0</v>
      </c>
      <c r="W75" t="s">
        <v>213</v>
      </c>
      <c r="X75" t="s">
        <v>213</v>
      </c>
      <c r="Y75" t="s">
        <v>446</v>
      </c>
      <c r="Z75" t="s">
        <v>213</v>
      </c>
    </row>
    <row r="76" spans="1:26" x14ac:dyDescent="0.25">
      <c r="A76">
        <v>41</v>
      </c>
      <c r="B76" t="s">
        <v>419</v>
      </c>
      <c r="C76" t="s">
        <v>435</v>
      </c>
      <c r="D76">
        <v>3.1379999999999999</v>
      </c>
      <c r="E76" t="s">
        <v>421</v>
      </c>
      <c r="F76">
        <v>42986</v>
      </c>
      <c r="G76" t="s">
        <v>442</v>
      </c>
      <c r="H76">
        <v>170011353</v>
      </c>
      <c r="I76">
        <v>530100</v>
      </c>
      <c r="J76" t="s">
        <v>423</v>
      </c>
      <c r="K76" t="s">
        <v>424</v>
      </c>
      <c r="L76" t="s">
        <v>425</v>
      </c>
      <c r="M76">
        <v>2603</v>
      </c>
      <c r="N76" t="s">
        <v>426</v>
      </c>
      <c r="O76">
        <v>1925</v>
      </c>
      <c r="P76" t="s">
        <v>213</v>
      </c>
      <c r="Q76">
        <v>10736274</v>
      </c>
      <c r="R76">
        <v>176446593</v>
      </c>
      <c r="S76">
        <v>37.155929999999998</v>
      </c>
      <c r="T76">
        <v>-93.424459999999996</v>
      </c>
      <c r="U76" t="s">
        <v>467</v>
      </c>
      <c r="V76">
        <v>0</v>
      </c>
      <c r="W76" t="s">
        <v>213</v>
      </c>
      <c r="X76" t="s">
        <v>213</v>
      </c>
      <c r="Y76" t="s">
        <v>436</v>
      </c>
      <c r="Z76" t="s">
        <v>213</v>
      </c>
    </row>
    <row r="77" spans="1:26" x14ac:dyDescent="0.25">
      <c r="A77">
        <v>42</v>
      </c>
      <c r="B77" t="s">
        <v>419</v>
      </c>
      <c r="C77" t="s">
        <v>420</v>
      </c>
      <c r="D77">
        <v>265.13</v>
      </c>
      <c r="E77" t="s">
        <v>472</v>
      </c>
      <c r="F77">
        <v>42898</v>
      </c>
      <c r="G77" t="s">
        <v>422</v>
      </c>
      <c r="H77">
        <v>170010629</v>
      </c>
      <c r="I77">
        <v>978774</v>
      </c>
      <c r="J77" t="s">
        <v>444</v>
      </c>
      <c r="K77" t="s">
        <v>424</v>
      </c>
      <c r="L77" t="s">
        <v>425</v>
      </c>
      <c r="M77">
        <v>7783</v>
      </c>
      <c r="N77" t="s">
        <v>433</v>
      </c>
      <c r="O77">
        <v>436</v>
      </c>
      <c r="P77" t="s">
        <v>213</v>
      </c>
      <c r="Q77">
        <v>35487875</v>
      </c>
      <c r="R77">
        <v>214822816</v>
      </c>
      <c r="S77">
        <v>37.145400000000002</v>
      </c>
      <c r="T77">
        <v>-93.429919999999996</v>
      </c>
      <c r="U77" t="s">
        <v>467</v>
      </c>
      <c r="V77">
        <v>0</v>
      </c>
      <c r="W77" t="s">
        <v>213</v>
      </c>
      <c r="X77" t="s">
        <v>213</v>
      </c>
      <c r="Y77" t="s">
        <v>427</v>
      </c>
      <c r="Z77" t="s">
        <v>213</v>
      </c>
    </row>
    <row r="78" spans="1:26" x14ac:dyDescent="0.25">
      <c r="A78">
        <v>43</v>
      </c>
      <c r="B78" t="s">
        <v>419</v>
      </c>
      <c r="C78" t="s">
        <v>435</v>
      </c>
      <c r="D78">
        <v>2.5339999999999998</v>
      </c>
      <c r="E78" t="s">
        <v>421</v>
      </c>
      <c r="F78">
        <v>42851</v>
      </c>
      <c r="G78" t="s">
        <v>422</v>
      </c>
      <c r="H78">
        <v>170024919</v>
      </c>
      <c r="I78">
        <v>527743</v>
      </c>
      <c r="J78" t="s">
        <v>423</v>
      </c>
      <c r="K78" t="s">
        <v>439</v>
      </c>
      <c r="L78" t="s">
        <v>448</v>
      </c>
      <c r="M78">
        <v>2603</v>
      </c>
      <c r="N78" t="s">
        <v>437</v>
      </c>
      <c r="O78">
        <v>1618</v>
      </c>
      <c r="P78" t="s">
        <v>213</v>
      </c>
      <c r="Q78">
        <v>10858045</v>
      </c>
      <c r="R78">
        <v>176754479</v>
      </c>
      <c r="S78">
        <v>37.164679999999997</v>
      </c>
      <c r="T78">
        <v>-93.424220000000005</v>
      </c>
      <c r="U78" t="s">
        <v>467</v>
      </c>
      <c r="V78">
        <v>0</v>
      </c>
      <c r="W78" t="s">
        <v>213</v>
      </c>
      <c r="X78" t="s">
        <v>213</v>
      </c>
      <c r="Y78" t="s">
        <v>436</v>
      </c>
      <c r="Z78" t="s">
        <v>213</v>
      </c>
    </row>
    <row r="79" spans="1:26" x14ac:dyDescent="0.25">
      <c r="A79">
        <v>44</v>
      </c>
      <c r="B79" t="s">
        <v>419</v>
      </c>
      <c r="C79" t="s">
        <v>462</v>
      </c>
      <c r="D79">
        <v>1.6E-2</v>
      </c>
      <c r="E79" t="s">
        <v>421</v>
      </c>
      <c r="F79">
        <v>42835</v>
      </c>
      <c r="G79" t="s">
        <v>422</v>
      </c>
      <c r="H79">
        <v>170024924</v>
      </c>
      <c r="I79">
        <v>532775</v>
      </c>
      <c r="J79" t="s">
        <v>423</v>
      </c>
      <c r="K79" t="s">
        <v>424</v>
      </c>
      <c r="L79" t="s">
        <v>425</v>
      </c>
      <c r="M79">
        <v>2611</v>
      </c>
      <c r="N79" t="s">
        <v>433</v>
      </c>
      <c r="O79">
        <v>1458</v>
      </c>
      <c r="P79" t="s">
        <v>213</v>
      </c>
      <c r="Q79">
        <v>9285628</v>
      </c>
      <c r="R79">
        <v>173519894</v>
      </c>
      <c r="S79">
        <v>37.145650000000003</v>
      </c>
      <c r="T79">
        <v>-93.428920000000005</v>
      </c>
      <c r="U79" t="s">
        <v>467</v>
      </c>
      <c r="V79">
        <v>0</v>
      </c>
      <c r="W79" t="s">
        <v>213</v>
      </c>
      <c r="X79" t="s">
        <v>213</v>
      </c>
      <c r="Y79" t="s">
        <v>436</v>
      </c>
      <c r="Z79" t="s">
        <v>213</v>
      </c>
    </row>
    <row r="80" spans="1:26" x14ac:dyDescent="0.25">
      <c r="A80">
        <v>45</v>
      </c>
      <c r="B80" t="s">
        <v>419</v>
      </c>
      <c r="C80" t="s">
        <v>429</v>
      </c>
      <c r="D80">
        <v>75.575999999999993</v>
      </c>
      <c r="E80" t="s">
        <v>421</v>
      </c>
      <c r="F80">
        <v>42983</v>
      </c>
      <c r="G80" t="s">
        <v>422</v>
      </c>
      <c r="H80">
        <v>170047047</v>
      </c>
      <c r="I80">
        <v>978769</v>
      </c>
      <c r="J80" t="s">
        <v>423</v>
      </c>
      <c r="K80" t="s">
        <v>424</v>
      </c>
      <c r="L80" t="s">
        <v>425</v>
      </c>
      <c r="M80">
        <v>7782</v>
      </c>
      <c r="N80" t="s">
        <v>441</v>
      </c>
      <c r="O80">
        <v>1541</v>
      </c>
      <c r="P80" t="s">
        <v>213</v>
      </c>
      <c r="Q80">
        <v>26947587</v>
      </c>
      <c r="R80">
        <v>201892750</v>
      </c>
      <c r="S80">
        <v>37.14555</v>
      </c>
      <c r="T80">
        <v>-93.429249999999996</v>
      </c>
      <c r="U80" t="s">
        <v>467</v>
      </c>
      <c r="V80">
        <v>0</v>
      </c>
      <c r="W80" t="s">
        <v>213</v>
      </c>
      <c r="X80" t="s">
        <v>213</v>
      </c>
      <c r="Y80" t="s">
        <v>427</v>
      </c>
      <c r="Z80" t="s">
        <v>213</v>
      </c>
    </row>
    <row r="81" spans="1:26" x14ac:dyDescent="0.25">
      <c r="A81">
        <v>46</v>
      </c>
      <c r="B81" t="s">
        <v>419</v>
      </c>
      <c r="C81" t="s">
        <v>429</v>
      </c>
      <c r="D81">
        <v>75.548000000000002</v>
      </c>
      <c r="E81" t="s">
        <v>421</v>
      </c>
      <c r="F81">
        <v>42985</v>
      </c>
      <c r="G81" t="s">
        <v>422</v>
      </c>
      <c r="H81">
        <v>170047051</v>
      </c>
      <c r="I81">
        <v>978769</v>
      </c>
      <c r="J81" t="s">
        <v>423</v>
      </c>
      <c r="K81" t="s">
        <v>424</v>
      </c>
      <c r="L81" t="s">
        <v>425</v>
      </c>
      <c r="M81">
        <v>7782</v>
      </c>
      <c r="N81" t="s">
        <v>453</v>
      </c>
      <c r="O81">
        <v>932</v>
      </c>
      <c r="P81" t="s">
        <v>213</v>
      </c>
      <c r="Q81">
        <v>26947590</v>
      </c>
      <c r="R81">
        <v>201892759</v>
      </c>
      <c r="S81">
        <v>37.145319999999998</v>
      </c>
      <c r="T81">
        <v>-93.429680000000005</v>
      </c>
      <c r="U81" t="s">
        <v>467</v>
      </c>
      <c r="V81">
        <v>0</v>
      </c>
      <c r="W81" t="s">
        <v>213</v>
      </c>
      <c r="X81" t="s">
        <v>213</v>
      </c>
      <c r="Y81" t="s">
        <v>427</v>
      </c>
      <c r="Z81" t="s">
        <v>213</v>
      </c>
    </row>
    <row r="82" spans="1:26" x14ac:dyDescent="0.25">
      <c r="A82">
        <v>47</v>
      </c>
      <c r="B82" t="s">
        <v>419</v>
      </c>
      <c r="C82" t="s">
        <v>451</v>
      </c>
      <c r="D82">
        <v>4.2000000000000003E-2</v>
      </c>
      <c r="E82" t="s">
        <v>421</v>
      </c>
      <c r="F82">
        <v>43055</v>
      </c>
      <c r="G82" t="s">
        <v>422</v>
      </c>
      <c r="H82">
        <v>170055716</v>
      </c>
      <c r="I82">
        <v>978774</v>
      </c>
      <c r="J82" t="s">
        <v>444</v>
      </c>
      <c r="K82" t="s">
        <v>424</v>
      </c>
      <c r="L82" t="s">
        <v>425</v>
      </c>
      <c r="M82">
        <v>934771</v>
      </c>
      <c r="N82" t="s">
        <v>453</v>
      </c>
      <c r="O82">
        <v>1953</v>
      </c>
      <c r="P82" t="s">
        <v>213</v>
      </c>
      <c r="Q82">
        <v>9579047</v>
      </c>
      <c r="R82">
        <v>175216894</v>
      </c>
      <c r="S82">
        <v>37.145679999999999</v>
      </c>
      <c r="T82">
        <v>-93.429559999999995</v>
      </c>
      <c r="U82" t="s">
        <v>467</v>
      </c>
      <c r="V82">
        <v>0</v>
      </c>
      <c r="W82" t="s">
        <v>213</v>
      </c>
      <c r="X82" t="s">
        <v>213</v>
      </c>
      <c r="Y82" t="s">
        <v>452</v>
      </c>
      <c r="Z82" t="s">
        <v>213</v>
      </c>
    </row>
    <row r="83" spans="1:26" x14ac:dyDescent="0.25">
      <c r="A83">
        <v>48</v>
      </c>
      <c r="B83" t="s">
        <v>419</v>
      </c>
      <c r="C83" t="s">
        <v>473</v>
      </c>
      <c r="D83">
        <v>3.9E-2</v>
      </c>
      <c r="E83" t="s">
        <v>421</v>
      </c>
      <c r="F83">
        <v>43084</v>
      </c>
      <c r="G83" t="s">
        <v>422</v>
      </c>
      <c r="H83">
        <v>170060141</v>
      </c>
      <c r="I83">
        <v>978771</v>
      </c>
      <c r="J83" t="s">
        <v>423</v>
      </c>
      <c r="K83" t="s">
        <v>424</v>
      </c>
      <c r="L83" t="s">
        <v>425</v>
      </c>
      <c r="M83">
        <v>934769</v>
      </c>
      <c r="N83" t="s">
        <v>426</v>
      </c>
      <c r="O83">
        <v>659</v>
      </c>
      <c r="P83" t="s">
        <v>213</v>
      </c>
      <c r="Q83">
        <v>11041991</v>
      </c>
      <c r="R83">
        <v>177254626</v>
      </c>
      <c r="S83">
        <v>37.145879999999998</v>
      </c>
      <c r="T83">
        <v>-93.428510000000003</v>
      </c>
      <c r="U83" t="s">
        <v>467</v>
      </c>
      <c r="V83">
        <v>0</v>
      </c>
      <c r="W83" t="s">
        <v>213</v>
      </c>
      <c r="X83" t="s">
        <v>213</v>
      </c>
      <c r="Y83" t="s">
        <v>452</v>
      </c>
      <c r="Z83" t="s">
        <v>213</v>
      </c>
    </row>
    <row r="84" spans="1:26" x14ac:dyDescent="0.25">
      <c r="A84">
        <v>49</v>
      </c>
      <c r="B84" t="s">
        <v>419</v>
      </c>
      <c r="C84" t="s">
        <v>435</v>
      </c>
      <c r="D84">
        <v>0.65700000000000003</v>
      </c>
      <c r="E84" t="s">
        <v>421</v>
      </c>
      <c r="F84">
        <v>43091</v>
      </c>
      <c r="G84" t="s">
        <v>442</v>
      </c>
      <c r="H84">
        <v>170060146</v>
      </c>
      <c r="I84">
        <v>521100</v>
      </c>
      <c r="J84" t="s">
        <v>423</v>
      </c>
      <c r="K84" t="s">
        <v>424</v>
      </c>
      <c r="L84" t="s">
        <v>425</v>
      </c>
      <c r="M84">
        <v>2603</v>
      </c>
      <c r="N84" t="s">
        <v>426</v>
      </c>
      <c r="O84">
        <v>1608</v>
      </c>
      <c r="P84" t="s">
        <v>213</v>
      </c>
      <c r="Q84">
        <v>11042002</v>
      </c>
      <c r="R84">
        <v>177254639</v>
      </c>
      <c r="S84">
        <v>37.191569999999999</v>
      </c>
      <c r="T84">
        <v>-93.423349999999999</v>
      </c>
      <c r="U84" t="s">
        <v>467</v>
      </c>
      <c r="V84">
        <v>0</v>
      </c>
      <c r="W84" t="s">
        <v>213</v>
      </c>
      <c r="X84" t="s">
        <v>213</v>
      </c>
      <c r="Y84" t="s">
        <v>436</v>
      </c>
      <c r="Z84" t="s">
        <v>213</v>
      </c>
    </row>
    <row r="85" spans="1:26" x14ac:dyDescent="0.25">
      <c r="A85">
        <v>50</v>
      </c>
      <c r="B85" t="s">
        <v>419</v>
      </c>
      <c r="C85" t="s">
        <v>474</v>
      </c>
      <c r="D85">
        <v>0.247</v>
      </c>
      <c r="E85" t="s">
        <v>421</v>
      </c>
      <c r="F85">
        <v>43088</v>
      </c>
      <c r="G85" t="s">
        <v>422</v>
      </c>
      <c r="H85">
        <v>170060147</v>
      </c>
      <c r="I85">
        <v>653787</v>
      </c>
      <c r="J85" t="s">
        <v>423</v>
      </c>
      <c r="K85" t="s">
        <v>424</v>
      </c>
      <c r="L85" t="s">
        <v>425</v>
      </c>
      <c r="M85">
        <v>279232</v>
      </c>
      <c r="N85" t="s">
        <v>441</v>
      </c>
      <c r="O85">
        <v>719</v>
      </c>
      <c r="P85" t="s">
        <v>213</v>
      </c>
      <c r="Q85">
        <v>11042005</v>
      </c>
      <c r="R85">
        <v>177254643</v>
      </c>
      <c r="S85">
        <v>37.176780000000001</v>
      </c>
      <c r="T85">
        <v>-93.423959999999994</v>
      </c>
      <c r="U85" t="s">
        <v>467</v>
      </c>
      <c r="V85">
        <v>0</v>
      </c>
      <c r="W85" t="s">
        <v>213</v>
      </c>
      <c r="X85" t="s">
        <v>213</v>
      </c>
      <c r="Y85" t="s">
        <v>475</v>
      </c>
      <c r="Z85" t="s">
        <v>213</v>
      </c>
    </row>
    <row r="86" spans="1:26" x14ac:dyDescent="0.25">
      <c r="A86">
        <v>51</v>
      </c>
      <c r="B86" t="s">
        <v>419</v>
      </c>
      <c r="C86" t="s">
        <v>435</v>
      </c>
      <c r="D86">
        <v>1.3380000000000001</v>
      </c>
      <c r="E86" t="s">
        <v>421</v>
      </c>
      <c r="F86">
        <v>43098</v>
      </c>
      <c r="G86" t="s">
        <v>442</v>
      </c>
      <c r="H86">
        <v>170060149</v>
      </c>
      <c r="I86">
        <v>1067305</v>
      </c>
      <c r="J86" t="s">
        <v>438</v>
      </c>
      <c r="K86" t="s">
        <v>424</v>
      </c>
      <c r="L86" t="s">
        <v>440</v>
      </c>
      <c r="M86">
        <v>2603</v>
      </c>
      <c r="N86" t="s">
        <v>426</v>
      </c>
      <c r="O86">
        <v>655</v>
      </c>
      <c r="P86" t="s">
        <v>213</v>
      </c>
      <c r="Q86">
        <v>11042009</v>
      </c>
      <c r="R86">
        <v>177254648</v>
      </c>
      <c r="S86">
        <v>37.181710000000002</v>
      </c>
      <c r="T86">
        <v>-93.423739999999995</v>
      </c>
      <c r="U86" t="s">
        <v>467</v>
      </c>
      <c r="V86">
        <v>0</v>
      </c>
      <c r="W86" t="s">
        <v>213</v>
      </c>
      <c r="X86" t="s">
        <v>213</v>
      </c>
      <c r="Y86" t="s">
        <v>436</v>
      </c>
      <c r="Z86" t="s">
        <v>213</v>
      </c>
    </row>
    <row r="87" spans="1:26" x14ac:dyDescent="0.25">
      <c r="A87">
        <v>52</v>
      </c>
      <c r="B87" t="s">
        <v>419</v>
      </c>
      <c r="C87" t="s">
        <v>429</v>
      </c>
      <c r="D87">
        <v>75.593000000000004</v>
      </c>
      <c r="E87" t="s">
        <v>421</v>
      </c>
      <c r="F87">
        <v>43073</v>
      </c>
      <c r="G87" t="s">
        <v>422</v>
      </c>
      <c r="H87">
        <v>170060152</v>
      </c>
      <c r="I87">
        <v>532832</v>
      </c>
      <c r="J87" t="s">
        <v>423</v>
      </c>
      <c r="K87" t="s">
        <v>424</v>
      </c>
      <c r="L87" t="s">
        <v>425</v>
      </c>
      <c r="M87">
        <v>7782</v>
      </c>
      <c r="N87" t="s">
        <v>433</v>
      </c>
      <c r="O87">
        <v>1001</v>
      </c>
      <c r="P87" t="s">
        <v>213</v>
      </c>
      <c r="Q87">
        <v>26948311</v>
      </c>
      <c r="R87">
        <v>201895020</v>
      </c>
      <c r="S87">
        <v>37.145679999999999</v>
      </c>
      <c r="T87">
        <v>-93.428989999999999</v>
      </c>
      <c r="U87" t="s">
        <v>467</v>
      </c>
      <c r="V87">
        <v>0</v>
      </c>
      <c r="W87" t="s">
        <v>213</v>
      </c>
      <c r="X87" t="s">
        <v>213</v>
      </c>
      <c r="Y87" t="s">
        <v>427</v>
      </c>
      <c r="Z87" t="s">
        <v>213</v>
      </c>
    </row>
    <row r="88" spans="1:26" x14ac:dyDescent="0.25">
      <c r="A88">
        <v>53</v>
      </c>
      <c r="B88" t="s">
        <v>419</v>
      </c>
      <c r="C88" t="s">
        <v>435</v>
      </c>
      <c r="D88">
        <v>3.153</v>
      </c>
      <c r="E88" t="s">
        <v>447</v>
      </c>
      <c r="F88">
        <v>43092</v>
      </c>
      <c r="G88" t="s">
        <v>422</v>
      </c>
      <c r="H88">
        <v>170060161</v>
      </c>
      <c r="I88">
        <v>530100</v>
      </c>
      <c r="J88" t="s">
        <v>444</v>
      </c>
      <c r="K88" t="s">
        <v>424</v>
      </c>
      <c r="L88" t="s">
        <v>440</v>
      </c>
      <c r="M88">
        <v>2603</v>
      </c>
      <c r="N88" t="s">
        <v>432</v>
      </c>
      <c r="O88">
        <v>2248</v>
      </c>
      <c r="P88" t="s">
        <v>455</v>
      </c>
      <c r="Q88">
        <v>11042034</v>
      </c>
      <c r="R88">
        <v>177254680</v>
      </c>
      <c r="S88">
        <v>37.155709999999999</v>
      </c>
      <c r="T88">
        <v>-93.424469999999999</v>
      </c>
      <c r="U88" t="s">
        <v>467</v>
      </c>
      <c r="V88">
        <v>0</v>
      </c>
      <c r="W88" t="s">
        <v>461</v>
      </c>
      <c r="X88" t="s">
        <v>213</v>
      </c>
      <c r="Y88" t="s">
        <v>436</v>
      </c>
      <c r="Z88" t="s">
        <v>213</v>
      </c>
    </row>
    <row r="89" spans="1:26" x14ac:dyDescent="0.25">
      <c r="A89">
        <v>54</v>
      </c>
      <c r="B89" t="s">
        <v>419</v>
      </c>
      <c r="C89" t="s">
        <v>435</v>
      </c>
      <c r="D89">
        <v>1.677</v>
      </c>
      <c r="E89" t="s">
        <v>430</v>
      </c>
      <c r="F89">
        <v>42761</v>
      </c>
      <c r="G89" t="s">
        <v>422</v>
      </c>
      <c r="H89">
        <v>170012990</v>
      </c>
      <c r="I89">
        <v>653787</v>
      </c>
      <c r="J89" t="s">
        <v>423</v>
      </c>
      <c r="K89" t="s">
        <v>424</v>
      </c>
      <c r="L89" t="s">
        <v>440</v>
      </c>
      <c r="M89">
        <v>2603</v>
      </c>
      <c r="N89" t="s">
        <v>453</v>
      </c>
      <c r="O89">
        <v>729</v>
      </c>
      <c r="P89" t="s">
        <v>213</v>
      </c>
      <c r="Q89">
        <v>6286956</v>
      </c>
      <c r="R89">
        <v>169033481</v>
      </c>
      <c r="S89">
        <v>37.176839999999999</v>
      </c>
      <c r="T89">
        <v>-93.424359999999993</v>
      </c>
      <c r="U89" t="s">
        <v>467</v>
      </c>
      <c r="V89">
        <v>0</v>
      </c>
      <c r="W89" t="s">
        <v>213</v>
      </c>
      <c r="X89" t="s">
        <v>213</v>
      </c>
      <c r="Y89" t="s">
        <v>436</v>
      </c>
      <c r="Z89" t="s">
        <v>213</v>
      </c>
    </row>
    <row r="90" spans="1:26" x14ac:dyDescent="0.25">
      <c r="A90">
        <v>55</v>
      </c>
      <c r="B90" t="s">
        <v>419</v>
      </c>
      <c r="C90" t="s">
        <v>435</v>
      </c>
      <c r="D90">
        <v>3.9249999999999998</v>
      </c>
      <c r="E90" t="s">
        <v>421</v>
      </c>
      <c r="F90">
        <v>42783</v>
      </c>
      <c r="G90" t="s">
        <v>422</v>
      </c>
      <c r="H90">
        <v>170017207</v>
      </c>
      <c r="I90">
        <v>978773</v>
      </c>
      <c r="J90" t="s">
        <v>438</v>
      </c>
      <c r="K90" t="s">
        <v>424</v>
      </c>
      <c r="L90" t="s">
        <v>425</v>
      </c>
      <c r="M90">
        <v>2603</v>
      </c>
      <c r="N90" t="s">
        <v>426</v>
      </c>
      <c r="O90">
        <v>2146</v>
      </c>
      <c r="P90" t="s">
        <v>213</v>
      </c>
      <c r="Q90">
        <v>9198863</v>
      </c>
      <c r="R90">
        <v>173274028</v>
      </c>
      <c r="S90">
        <v>37.146009999999997</v>
      </c>
      <c r="T90">
        <v>-93.429199999999994</v>
      </c>
      <c r="U90" t="s">
        <v>467</v>
      </c>
      <c r="V90">
        <v>0</v>
      </c>
      <c r="W90" t="s">
        <v>213</v>
      </c>
      <c r="X90" t="s">
        <v>213</v>
      </c>
      <c r="Y90" t="s">
        <v>436</v>
      </c>
      <c r="Z90" t="s">
        <v>213</v>
      </c>
    </row>
    <row r="91" spans="1:26" x14ac:dyDescent="0.25">
      <c r="A91">
        <v>56</v>
      </c>
      <c r="B91" t="s">
        <v>419</v>
      </c>
      <c r="C91" t="s">
        <v>462</v>
      </c>
      <c r="D91">
        <v>6.0000000000000001E-3</v>
      </c>
      <c r="E91" t="s">
        <v>421</v>
      </c>
      <c r="F91">
        <v>42793</v>
      </c>
      <c r="G91" t="s">
        <v>442</v>
      </c>
      <c r="H91">
        <v>170017217</v>
      </c>
      <c r="I91">
        <v>532775</v>
      </c>
      <c r="J91" t="s">
        <v>423</v>
      </c>
      <c r="K91" t="s">
        <v>424</v>
      </c>
      <c r="L91" t="s">
        <v>425</v>
      </c>
      <c r="M91">
        <v>2611</v>
      </c>
      <c r="N91" t="s">
        <v>433</v>
      </c>
      <c r="O91">
        <v>1346</v>
      </c>
      <c r="P91" t="s">
        <v>213</v>
      </c>
      <c r="Q91">
        <v>9198929</v>
      </c>
      <c r="R91">
        <v>173274211</v>
      </c>
      <c r="S91">
        <v>37.145780000000002</v>
      </c>
      <c r="T91">
        <v>-93.429010000000005</v>
      </c>
      <c r="U91" t="s">
        <v>467</v>
      </c>
      <c r="V91">
        <v>0</v>
      </c>
      <c r="W91" t="s">
        <v>213</v>
      </c>
      <c r="X91" t="s">
        <v>213</v>
      </c>
      <c r="Y91" t="s">
        <v>436</v>
      </c>
      <c r="Z91" t="s">
        <v>213</v>
      </c>
    </row>
    <row r="92" spans="1:26" x14ac:dyDescent="0.25">
      <c r="A92">
        <v>57</v>
      </c>
      <c r="B92" t="s">
        <v>419</v>
      </c>
      <c r="C92" t="s">
        <v>435</v>
      </c>
      <c r="D92">
        <v>0.83899999999999997</v>
      </c>
      <c r="E92" t="s">
        <v>447</v>
      </c>
      <c r="F92">
        <v>42789</v>
      </c>
      <c r="G92" t="s">
        <v>422</v>
      </c>
      <c r="H92">
        <v>170017218</v>
      </c>
      <c r="I92">
        <v>0</v>
      </c>
      <c r="J92" t="s">
        <v>423</v>
      </c>
      <c r="K92" t="s">
        <v>424</v>
      </c>
      <c r="L92" t="s">
        <v>425</v>
      </c>
      <c r="M92">
        <v>2603</v>
      </c>
      <c r="N92" t="s">
        <v>453</v>
      </c>
      <c r="O92">
        <v>1330</v>
      </c>
      <c r="P92" t="s">
        <v>434</v>
      </c>
      <c r="Q92">
        <v>6468222</v>
      </c>
      <c r="R92">
        <v>169325404</v>
      </c>
      <c r="S92">
        <v>37.188940000000002</v>
      </c>
      <c r="T92">
        <v>-93.423469999999995</v>
      </c>
      <c r="U92" t="s">
        <v>467</v>
      </c>
      <c r="V92">
        <v>0</v>
      </c>
      <c r="W92" t="s">
        <v>476</v>
      </c>
      <c r="X92" t="s">
        <v>213</v>
      </c>
      <c r="Y92" t="s">
        <v>436</v>
      </c>
      <c r="Z92" t="s">
        <v>213</v>
      </c>
    </row>
    <row r="93" spans="1:26" x14ac:dyDescent="0.25">
      <c r="A93">
        <v>58</v>
      </c>
      <c r="B93" t="s">
        <v>419</v>
      </c>
      <c r="C93" t="s">
        <v>435</v>
      </c>
      <c r="D93">
        <v>3.278</v>
      </c>
      <c r="E93" t="s">
        <v>434</v>
      </c>
      <c r="F93">
        <v>42813</v>
      </c>
      <c r="G93" t="s">
        <v>442</v>
      </c>
      <c r="H93">
        <v>170021976</v>
      </c>
      <c r="I93">
        <v>530399</v>
      </c>
      <c r="J93" t="s">
        <v>423</v>
      </c>
      <c r="K93" t="s">
        <v>424</v>
      </c>
      <c r="L93" t="s">
        <v>425</v>
      </c>
      <c r="M93">
        <v>2603</v>
      </c>
      <c r="N93" t="s">
        <v>449</v>
      </c>
      <c r="O93">
        <v>1600</v>
      </c>
      <c r="P93" t="s">
        <v>213</v>
      </c>
      <c r="Q93">
        <v>10848828</v>
      </c>
      <c r="R93">
        <v>176727895</v>
      </c>
      <c r="S93">
        <v>37.154049999999998</v>
      </c>
      <c r="T93">
        <v>-93.425219999999996</v>
      </c>
      <c r="U93" t="s">
        <v>467</v>
      </c>
      <c r="V93">
        <v>0</v>
      </c>
      <c r="W93" t="s">
        <v>213</v>
      </c>
      <c r="X93" t="s">
        <v>213</v>
      </c>
      <c r="Y93" t="s">
        <v>436</v>
      </c>
      <c r="Z93" t="s">
        <v>213</v>
      </c>
    </row>
    <row r="94" spans="1:26" x14ac:dyDescent="0.25">
      <c r="A94">
        <v>59</v>
      </c>
      <c r="B94" t="s">
        <v>419</v>
      </c>
      <c r="C94" t="s">
        <v>435</v>
      </c>
      <c r="D94">
        <v>0.17799999999999999</v>
      </c>
      <c r="E94" t="s">
        <v>459</v>
      </c>
      <c r="F94">
        <v>43075</v>
      </c>
      <c r="G94" t="s">
        <v>422</v>
      </c>
      <c r="H94">
        <v>3170033218</v>
      </c>
      <c r="I94">
        <v>519586</v>
      </c>
      <c r="J94" t="s">
        <v>438</v>
      </c>
      <c r="K94" t="s">
        <v>424</v>
      </c>
      <c r="L94" t="s">
        <v>425</v>
      </c>
      <c r="M94">
        <v>2603</v>
      </c>
      <c r="N94" t="s">
        <v>437</v>
      </c>
      <c r="O94">
        <v>1830</v>
      </c>
      <c r="P94" t="s">
        <v>213</v>
      </c>
      <c r="Q94">
        <v>6379002</v>
      </c>
      <c r="R94">
        <v>169185666</v>
      </c>
      <c r="S94">
        <v>37.198529999999998</v>
      </c>
      <c r="T94">
        <v>-93.423119999999997</v>
      </c>
      <c r="U94" t="s">
        <v>467</v>
      </c>
      <c r="V94">
        <v>0</v>
      </c>
      <c r="W94" t="s">
        <v>213</v>
      </c>
      <c r="X94" t="s">
        <v>213</v>
      </c>
      <c r="Y94" t="s">
        <v>436</v>
      </c>
      <c r="Z94" t="s">
        <v>213</v>
      </c>
    </row>
    <row r="95" spans="1:26" x14ac:dyDescent="0.25">
      <c r="A95">
        <v>60</v>
      </c>
      <c r="B95" t="s">
        <v>419</v>
      </c>
      <c r="C95" t="s">
        <v>435</v>
      </c>
      <c r="D95">
        <v>0.55900000000000005</v>
      </c>
      <c r="E95" t="s">
        <v>421</v>
      </c>
      <c r="F95">
        <v>42835</v>
      </c>
      <c r="G95" t="s">
        <v>422</v>
      </c>
      <c r="H95">
        <v>3170008231</v>
      </c>
      <c r="I95">
        <v>0</v>
      </c>
      <c r="J95" t="s">
        <v>423</v>
      </c>
      <c r="K95" t="s">
        <v>424</v>
      </c>
      <c r="L95" t="s">
        <v>425</v>
      </c>
      <c r="M95">
        <v>2603</v>
      </c>
      <c r="N95" t="s">
        <v>433</v>
      </c>
      <c r="O95">
        <v>640</v>
      </c>
      <c r="P95" t="s">
        <v>213</v>
      </c>
      <c r="Q95">
        <v>2741991</v>
      </c>
      <c r="R95">
        <v>164130562</v>
      </c>
      <c r="S95">
        <v>37.192999999999998</v>
      </c>
      <c r="T95">
        <v>-93.423299999999998</v>
      </c>
      <c r="U95" t="s">
        <v>467</v>
      </c>
      <c r="V95">
        <v>0</v>
      </c>
      <c r="W95" t="s">
        <v>213</v>
      </c>
      <c r="X95" t="s">
        <v>213</v>
      </c>
      <c r="Y95" t="s">
        <v>436</v>
      </c>
      <c r="Z95" t="s">
        <v>213</v>
      </c>
    </row>
    <row r="96" spans="1:26" x14ac:dyDescent="0.25">
      <c r="A96">
        <v>61</v>
      </c>
      <c r="B96" t="s">
        <v>419</v>
      </c>
      <c r="C96" t="s">
        <v>429</v>
      </c>
      <c r="D96">
        <v>75.581000000000003</v>
      </c>
      <c r="E96" t="s">
        <v>421</v>
      </c>
      <c r="F96">
        <v>43230</v>
      </c>
      <c r="G96" t="s">
        <v>422</v>
      </c>
      <c r="H96">
        <v>180018107</v>
      </c>
      <c r="I96">
        <v>978769</v>
      </c>
      <c r="J96" t="s">
        <v>423</v>
      </c>
      <c r="K96" t="s">
        <v>439</v>
      </c>
      <c r="L96" t="s">
        <v>440</v>
      </c>
      <c r="M96">
        <v>7782</v>
      </c>
      <c r="N96" t="s">
        <v>453</v>
      </c>
      <c r="O96">
        <v>711</v>
      </c>
      <c r="P96" t="s">
        <v>213</v>
      </c>
      <c r="Q96">
        <v>26957938</v>
      </c>
      <c r="R96">
        <v>201928847</v>
      </c>
      <c r="S96">
        <v>37.145589999999999</v>
      </c>
      <c r="T96">
        <v>-93.429180000000002</v>
      </c>
      <c r="U96" t="s">
        <v>467</v>
      </c>
      <c r="V96">
        <v>2</v>
      </c>
      <c r="W96" t="s">
        <v>213</v>
      </c>
      <c r="X96" t="s">
        <v>477</v>
      </c>
      <c r="Y96" t="s">
        <v>427</v>
      </c>
      <c r="Z96" t="s">
        <v>478</v>
      </c>
    </row>
    <row r="97" spans="1:26" x14ac:dyDescent="0.25">
      <c r="A97">
        <v>62</v>
      </c>
      <c r="B97" t="s">
        <v>419</v>
      </c>
      <c r="C97" t="s">
        <v>451</v>
      </c>
      <c r="D97">
        <v>4.5999999999999999E-2</v>
      </c>
      <c r="E97" t="s">
        <v>421</v>
      </c>
      <c r="F97">
        <v>43231</v>
      </c>
      <c r="G97" t="s">
        <v>422</v>
      </c>
      <c r="H97">
        <v>180018108</v>
      </c>
      <c r="I97">
        <v>978774</v>
      </c>
      <c r="J97" t="s">
        <v>423</v>
      </c>
      <c r="K97" t="s">
        <v>424</v>
      </c>
      <c r="L97" t="s">
        <v>425</v>
      </c>
      <c r="M97">
        <v>934771</v>
      </c>
      <c r="N97" t="s">
        <v>426</v>
      </c>
      <c r="O97">
        <v>1302</v>
      </c>
      <c r="P97" t="s">
        <v>213</v>
      </c>
      <c r="Q97">
        <v>13066022</v>
      </c>
      <c r="R97">
        <v>181985623</v>
      </c>
      <c r="S97">
        <v>37.145620000000001</v>
      </c>
      <c r="T97">
        <v>-93.429590000000005</v>
      </c>
      <c r="U97" t="s">
        <v>467</v>
      </c>
      <c r="V97">
        <v>2</v>
      </c>
      <c r="W97" t="s">
        <v>213</v>
      </c>
      <c r="X97" t="s">
        <v>477</v>
      </c>
      <c r="Y97" t="s">
        <v>452</v>
      </c>
      <c r="Z97" t="s">
        <v>479</v>
      </c>
    </row>
    <row r="98" spans="1:26" x14ac:dyDescent="0.25">
      <c r="A98">
        <v>63</v>
      </c>
      <c r="B98" t="s">
        <v>419</v>
      </c>
      <c r="C98" t="s">
        <v>429</v>
      </c>
      <c r="D98">
        <v>75.584000000000003</v>
      </c>
      <c r="E98" t="s">
        <v>421</v>
      </c>
      <c r="F98">
        <v>43251</v>
      </c>
      <c r="G98" t="s">
        <v>422</v>
      </c>
      <c r="H98">
        <v>180018109</v>
      </c>
      <c r="I98">
        <v>978769</v>
      </c>
      <c r="J98" t="s">
        <v>423</v>
      </c>
      <c r="K98" t="s">
        <v>424</v>
      </c>
      <c r="L98" t="s">
        <v>425</v>
      </c>
      <c r="M98">
        <v>7782</v>
      </c>
      <c r="N98" t="s">
        <v>453</v>
      </c>
      <c r="O98">
        <v>552</v>
      </c>
      <c r="P98" t="s">
        <v>213</v>
      </c>
      <c r="Q98">
        <v>26957939</v>
      </c>
      <c r="R98">
        <v>201928850</v>
      </c>
      <c r="S98">
        <v>37.145609999999998</v>
      </c>
      <c r="T98">
        <v>-93.429130000000001</v>
      </c>
      <c r="U98" t="s">
        <v>467</v>
      </c>
      <c r="V98">
        <v>3</v>
      </c>
      <c r="W98" t="s">
        <v>213</v>
      </c>
      <c r="X98" t="s">
        <v>477</v>
      </c>
      <c r="Y98" t="s">
        <v>427</v>
      </c>
      <c r="Z98" t="s">
        <v>480</v>
      </c>
    </row>
    <row r="99" spans="1:26" x14ac:dyDescent="0.25">
      <c r="A99">
        <v>64</v>
      </c>
      <c r="B99" t="s">
        <v>419</v>
      </c>
      <c r="C99" t="s">
        <v>435</v>
      </c>
      <c r="D99">
        <v>1.196</v>
      </c>
      <c r="E99" t="s">
        <v>447</v>
      </c>
      <c r="F99">
        <v>43135</v>
      </c>
      <c r="G99" t="s">
        <v>422</v>
      </c>
      <c r="H99">
        <v>3180003016</v>
      </c>
      <c r="I99">
        <v>522921</v>
      </c>
      <c r="J99" t="s">
        <v>423</v>
      </c>
      <c r="K99" t="s">
        <v>481</v>
      </c>
      <c r="L99" t="s">
        <v>440</v>
      </c>
      <c r="M99">
        <v>2603</v>
      </c>
      <c r="N99" t="s">
        <v>449</v>
      </c>
      <c r="O99">
        <v>1730</v>
      </c>
      <c r="P99" t="s">
        <v>434</v>
      </c>
      <c r="Q99">
        <v>6643007</v>
      </c>
      <c r="R99">
        <v>169600666</v>
      </c>
      <c r="S99">
        <v>37.183759999999999</v>
      </c>
      <c r="T99">
        <v>-93.423680000000004</v>
      </c>
      <c r="U99" t="s">
        <v>467</v>
      </c>
      <c r="V99">
        <v>1</v>
      </c>
      <c r="W99" t="s">
        <v>482</v>
      </c>
      <c r="X99" t="s">
        <v>477</v>
      </c>
      <c r="Y99" t="s">
        <v>436</v>
      </c>
      <c r="Z99" t="s">
        <v>483</v>
      </c>
    </row>
    <row r="100" spans="1:26" x14ac:dyDescent="0.25">
      <c r="A100">
        <v>65</v>
      </c>
      <c r="B100" t="s">
        <v>419</v>
      </c>
      <c r="C100" t="s">
        <v>435</v>
      </c>
      <c r="D100">
        <v>0.17</v>
      </c>
      <c r="E100" t="s">
        <v>421</v>
      </c>
      <c r="F100">
        <v>43186</v>
      </c>
      <c r="G100" t="s">
        <v>422</v>
      </c>
      <c r="H100">
        <v>3180007544</v>
      </c>
      <c r="I100">
        <v>519586</v>
      </c>
      <c r="J100" t="s">
        <v>438</v>
      </c>
      <c r="K100" t="s">
        <v>439</v>
      </c>
      <c r="L100" t="s">
        <v>440</v>
      </c>
      <c r="M100">
        <v>2603</v>
      </c>
      <c r="N100" t="s">
        <v>441</v>
      </c>
      <c r="O100">
        <v>655</v>
      </c>
      <c r="P100" t="s">
        <v>213</v>
      </c>
      <c r="Q100">
        <v>7677165</v>
      </c>
      <c r="R100">
        <v>171004153</v>
      </c>
      <c r="S100">
        <v>37.198639999999997</v>
      </c>
      <c r="T100">
        <v>-93.423119999999997</v>
      </c>
      <c r="U100" t="s">
        <v>467</v>
      </c>
      <c r="V100">
        <v>2</v>
      </c>
      <c r="W100" t="s">
        <v>213</v>
      </c>
      <c r="X100" t="s">
        <v>477</v>
      </c>
      <c r="Y100" t="s">
        <v>436</v>
      </c>
      <c r="Z100" t="s">
        <v>484</v>
      </c>
    </row>
    <row r="101" spans="1:26" x14ac:dyDescent="0.25">
      <c r="A101">
        <v>66</v>
      </c>
      <c r="B101" t="s">
        <v>419</v>
      </c>
      <c r="C101" t="s">
        <v>474</v>
      </c>
      <c r="D101">
        <v>0.26800000000000002</v>
      </c>
      <c r="E101" t="s">
        <v>421</v>
      </c>
      <c r="F101">
        <v>43241</v>
      </c>
      <c r="G101" t="s">
        <v>422</v>
      </c>
      <c r="H101">
        <v>3180012769</v>
      </c>
      <c r="I101">
        <v>653787</v>
      </c>
      <c r="J101" t="s">
        <v>423</v>
      </c>
      <c r="K101" t="s">
        <v>424</v>
      </c>
      <c r="L101" t="s">
        <v>425</v>
      </c>
      <c r="M101">
        <v>279232</v>
      </c>
      <c r="N101" t="s">
        <v>433</v>
      </c>
      <c r="O101">
        <v>1630</v>
      </c>
      <c r="P101" t="s">
        <v>213</v>
      </c>
      <c r="Q101">
        <v>7999551</v>
      </c>
      <c r="R101">
        <v>171711016</v>
      </c>
      <c r="S101">
        <v>37.176969999999997</v>
      </c>
      <c r="T101">
        <v>-93.424260000000004</v>
      </c>
      <c r="U101" t="s">
        <v>467</v>
      </c>
      <c r="V101">
        <v>2</v>
      </c>
      <c r="W101" t="s">
        <v>213</v>
      </c>
      <c r="X101" t="s">
        <v>485</v>
      </c>
      <c r="Y101" t="s">
        <v>475</v>
      </c>
      <c r="Z101" t="s">
        <v>478</v>
      </c>
    </row>
    <row r="102" spans="1:26" x14ac:dyDescent="0.25">
      <c r="A102">
        <v>67</v>
      </c>
      <c r="B102" t="s">
        <v>419</v>
      </c>
      <c r="C102" t="s">
        <v>435</v>
      </c>
      <c r="D102">
        <v>1.7130000000000001</v>
      </c>
      <c r="E102" t="s">
        <v>464</v>
      </c>
      <c r="F102">
        <v>43191</v>
      </c>
      <c r="G102" t="s">
        <v>442</v>
      </c>
      <c r="H102">
        <v>180000261</v>
      </c>
      <c r="I102">
        <v>0</v>
      </c>
      <c r="J102" t="s">
        <v>444</v>
      </c>
      <c r="K102" t="s">
        <v>486</v>
      </c>
      <c r="L102" t="s">
        <v>487</v>
      </c>
      <c r="M102">
        <v>2603</v>
      </c>
      <c r="N102" t="s">
        <v>449</v>
      </c>
      <c r="O102">
        <v>1955</v>
      </c>
      <c r="P102" t="s">
        <v>213</v>
      </c>
      <c r="Q102">
        <v>7847030</v>
      </c>
      <c r="R102">
        <v>171383363</v>
      </c>
      <c r="S102">
        <v>37.17633</v>
      </c>
      <c r="T102">
        <v>-93.424539999999993</v>
      </c>
      <c r="U102" t="s">
        <v>467</v>
      </c>
      <c r="V102">
        <v>2</v>
      </c>
      <c r="W102" t="s">
        <v>213</v>
      </c>
      <c r="X102" t="s">
        <v>477</v>
      </c>
      <c r="Y102" t="s">
        <v>436</v>
      </c>
      <c r="Z102" t="s">
        <v>488</v>
      </c>
    </row>
    <row r="103" spans="1:26" x14ac:dyDescent="0.25">
      <c r="A103">
        <v>68</v>
      </c>
      <c r="B103" t="s">
        <v>419</v>
      </c>
      <c r="C103" t="s">
        <v>435</v>
      </c>
      <c r="D103">
        <v>0.182</v>
      </c>
      <c r="E103" t="s">
        <v>421</v>
      </c>
      <c r="F103">
        <v>43357</v>
      </c>
      <c r="G103" t="s">
        <v>431</v>
      </c>
      <c r="H103">
        <v>180000972</v>
      </c>
      <c r="I103">
        <v>519586</v>
      </c>
      <c r="J103" t="s">
        <v>423</v>
      </c>
      <c r="K103" t="s">
        <v>424</v>
      </c>
      <c r="L103" t="s">
        <v>425</v>
      </c>
      <c r="M103">
        <v>2603</v>
      </c>
      <c r="N103" t="s">
        <v>426</v>
      </c>
      <c r="O103">
        <v>1526</v>
      </c>
      <c r="P103" t="s">
        <v>213</v>
      </c>
      <c r="Q103">
        <v>9625674</v>
      </c>
      <c r="R103">
        <v>175316365</v>
      </c>
      <c r="S103">
        <v>37.19847</v>
      </c>
      <c r="T103">
        <v>-93.423119999999997</v>
      </c>
      <c r="U103" t="s">
        <v>467</v>
      </c>
      <c r="V103">
        <v>2</v>
      </c>
      <c r="W103" t="s">
        <v>213</v>
      </c>
      <c r="X103" t="s">
        <v>477</v>
      </c>
      <c r="Y103" t="s">
        <v>436</v>
      </c>
      <c r="Z103" t="s">
        <v>489</v>
      </c>
    </row>
    <row r="104" spans="1:26" x14ac:dyDescent="0.25">
      <c r="A104">
        <v>69</v>
      </c>
      <c r="B104" t="s">
        <v>419</v>
      </c>
      <c r="C104" t="s">
        <v>490</v>
      </c>
      <c r="D104">
        <v>1.014</v>
      </c>
      <c r="E104" t="s">
        <v>428</v>
      </c>
      <c r="F104">
        <v>43321</v>
      </c>
      <c r="G104" t="s">
        <v>431</v>
      </c>
      <c r="H104">
        <v>180000897</v>
      </c>
      <c r="I104">
        <v>526664</v>
      </c>
      <c r="J104" t="s">
        <v>423</v>
      </c>
      <c r="K104" t="s">
        <v>424</v>
      </c>
      <c r="L104" t="s">
        <v>425</v>
      </c>
      <c r="M104">
        <v>1067387</v>
      </c>
      <c r="N104" t="s">
        <v>453</v>
      </c>
      <c r="O104">
        <v>1124</v>
      </c>
      <c r="P104" t="s">
        <v>213</v>
      </c>
      <c r="Q104">
        <v>11000930</v>
      </c>
      <c r="R104">
        <v>177171423</v>
      </c>
      <c r="S104">
        <v>37.169240000000002</v>
      </c>
      <c r="T104">
        <v>-93.424090000000007</v>
      </c>
      <c r="U104" t="s">
        <v>465</v>
      </c>
      <c r="V104">
        <v>3</v>
      </c>
      <c r="W104" t="s">
        <v>213</v>
      </c>
      <c r="X104" t="s">
        <v>477</v>
      </c>
      <c r="Y104" t="s">
        <v>466</v>
      </c>
      <c r="Z104" t="s">
        <v>491</v>
      </c>
    </row>
    <row r="105" spans="1:26" x14ac:dyDescent="0.25">
      <c r="A105">
        <v>70</v>
      </c>
      <c r="B105" t="s">
        <v>419</v>
      </c>
      <c r="C105" t="s">
        <v>473</v>
      </c>
      <c r="D105">
        <v>4.2999999999999997E-2</v>
      </c>
      <c r="E105" t="s">
        <v>421</v>
      </c>
      <c r="F105">
        <v>43137</v>
      </c>
      <c r="G105" t="s">
        <v>422</v>
      </c>
      <c r="H105">
        <v>180006182</v>
      </c>
      <c r="I105">
        <v>978771</v>
      </c>
      <c r="J105" t="s">
        <v>423</v>
      </c>
      <c r="K105" t="s">
        <v>486</v>
      </c>
      <c r="L105" t="s">
        <v>440</v>
      </c>
      <c r="M105">
        <v>934769</v>
      </c>
      <c r="N105" t="s">
        <v>441</v>
      </c>
      <c r="O105">
        <v>713</v>
      </c>
      <c r="P105" t="s">
        <v>213</v>
      </c>
      <c r="Q105">
        <v>11253480</v>
      </c>
      <c r="R105">
        <v>179502081</v>
      </c>
      <c r="S105">
        <v>37.14593</v>
      </c>
      <c r="T105">
        <v>-93.428470000000004</v>
      </c>
      <c r="U105" t="s">
        <v>467</v>
      </c>
      <c r="V105">
        <v>2</v>
      </c>
      <c r="W105" t="s">
        <v>213</v>
      </c>
      <c r="X105" t="s">
        <v>477</v>
      </c>
      <c r="Y105" t="s">
        <v>452</v>
      </c>
      <c r="Z105" t="s">
        <v>479</v>
      </c>
    </row>
    <row r="106" spans="1:26" x14ac:dyDescent="0.25">
      <c r="A106">
        <v>71</v>
      </c>
      <c r="B106" t="s">
        <v>419</v>
      </c>
      <c r="C106" t="s">
        <v>429</v>
      </c>
      <c r="D106">
        <v>75.531999999999996</v>
      </c>
      <c r="E106" t="s">
        <v>454</v>
      </c>
      <c r="F106">
        <v>43144</v>
      </c>
      <c r="G106" t="s">
        <v>422</v>
      </c>
      <c r="H106">
        <v>180006184</v>
      </c>
      <c r="I106">
        <v>0</v>
      </c>
      <c r="J106" t="s">
        <v>423</v>
      </c>
      <c r="K106" t="s">
        <v>424</v>
      </c>
      <c r="L106" t="s">
        <v>425</v>
      </c>
      <c r="M106">
        <v>7782</v>
      </c>
      <c r="N106" t="s">
        <v>441</v>
      </c>
      <c r="O106">
        <v>1031</v>
      </c>
      <c r="P106" t="s">
        <v>213</v>
      </c>
      <c r="Q106">
        <v>26957243</v>
      </c>
      <c r="R106">
        <v>201926728</v>
      </c>
      <c r="S106">
        <v>37.145189999999999</v>
      </c>
      <c r="T106">
        <v>-93.429929999999999</v>
      </c>
      <c r="U106" t="s">
        <v>467</v>
      </c>
      <c r="V106">
        <v>2</v>
      </c>
      <c r="W106" t="s">
        <v>213</v>
      </c>
      <c r="X106" t="s">
        <v>477</v>
      </c>
      <c r="Y106" t="s">
        <v>427</v>
      </c>
      <c r="Z106" t="s">
        <v>478</v>
      </c>
    </row>
    <row r="107" spans="1:26" x14ac:dyDescent="0.25">
      <c r="A107">
        <v>72</v>
      </c>
      <c r="B107" t="s">
        <v>419</v>
      </c>
      <c r="C107" t="s">
        <v>435</v>
      </c>
      <c r="D107">
        <v>3.25</v>
      </c>
      <c r="E107" t="s">
        <v>464</v>
      </c>
      <c r="F107">
        <v>43136</v>
      </c>
      <c r="G107" t="s">
        <v>422</v>
      </c>
      <c r="H107">
        <v>180006185</v>
      </c>
      <c r="I107">
        <v>530399</v>
      </c>
      <c r="J107" t="s">
        <v>423</v>
      </c>
      <c r="K107" t="s">
        <v>486</v>
      </c>
      <c r="L107" t="s">
        <v>425</v>
      </c>
      <c r="M107">
        <v>2603</v>
      </c>
      <c r="N107" t="s">
        <v>433</v>
      </c>
      <c r="O107">
        <v>1002</v>
      </c>
      <c r="P107" t="s">
        <v>213</v>
      </c>
      <c r="Q107">
        <v>11253486</v>
      </c>
      <c r="R107">
        <v>179502088</v>
      </c>
      <c r="S107">
        <v>37.154409999999999</v>
      </c>
      <c r="T107">
        <v>-93.424980000000005</v>
      </c>
      <c r="U107" t="s">
        <v>467</v>
      </c>
      <c r="V107">
        <v>2</v>
      </c>
      <c r="W107" t="s">
        <v>213</v>
      </c>
      <c r="X107" t="s">
        <v>477</v>
      </c>
      <c r="Y107" t="s">
        <v>436</v>
      </c>
      <c r="Z107" t="s">
        <v>492</v>
      </c>
    </row>
    <row r="108" spans="1:26" x14ac:dyDescent="0.25">
      <c r="A108">
        <v>73</v>
      </c>
      <c r="B108" t="s">
        <v>419</v>
      </c>
      <c r="C108" t="s">
        <v>435</v>
      </c>
      <c r="D108">
        <v>0.47099999999999997</v>
      </c>
      <c r="E108" t="s">
        <v>447</v>
      </c>
      <c r="F108">
        <v>43143</v>
      </c>
      <c r="G108" t="s">
        <v>422</v>
      </c>
      <c r="H108">
        <v>180006186</v>
      </c>
      <c r="I108">
        <v>0</v>
      </c>
      <c r="J108" t="s">
        <v>423</v>
      </c>
      <c r="K108" t="s">
        <v>439</v>
      </c>
      <c r="L108" t="s">
        <v>440</v>
      </c>
      <c r="M108">
        <v>2603</v>
      </c>
      <c r="N108" t="s">
        <v>433</v>
      </c>
      <c r="O108">
        <v>1032</v>
      </c>
      <c r="P108" t="s">
        <v>434</v>
      </c>
      <c r="Q108">
        <v>11253488</v>
      </c>
      <c r="R108">
        <v>179502091</v>
      </c>
      <c r="S108">
        <v>37.194270000000003</v>
      </c>
      <c r="T108">
        <v>-93.423259999999999</v>
      </c>
      <c r="U108" t="s">
        <v>467</v>
      </c>
      <c r="V108">
        <v>1</v>
      </c>
      <c r="W108" t="s">
        <v>493</v>
      </c>
      <c r="X108" t="s">
        <v>477</v>
      </c>
      <c r="Y108" t="s">
        <v>436</v>
      </c>
      <c r="Z108" t="s">
        <v>489</v>
      </c>
    </row>
    <row r="109" spans="1:26" x14ac:dyDescent="0.25">
      <c r="A109">
        <v>74</v>
      </c>
      <c r="B109" t="s">
        <v>419</v>
      </c>
      <c r="C109" t="s">
        <v>435</v>
      </c>
      <c r="D109">
        <v>3.157</v>
      </c>
      <c r="E109" t="s">
        <v>434</v>
      </c>
      <c r="F109">
        <v>43156</v>
      </c>
      <c r="G109" t="s">
        <v>442</v>
      </c>
      <c r="H109">
        <v>180006192</v>
      </c>
      <c r="I109">
        <v>530100</v>
      </c>
      <c r="J109" t="s">
        <v>423</v>
      </c>
      <c r="K109" t="s">
        <v>424</v>
      </c>
      <c r="L109" t="s">
        <v>425</v>
      </c>
      <c r="M109">
        <v>2603</v>
      </c>
      <c r="N109" t="s">
        <v>449</v>
      </c>
      <c r="O109">
        <v>744</v>
      </c>
      <c r="P109" t="s">
        <v>213</v>
      </c>
      <c r="Q109">
        <v>11255368</v>
      </c>
      <c r="R109">
        <v>179504401</v>
      </c>
      <c r="S109">
        <v>37.155659999999997</v>
      </c>
      <c r="T109">
        <v>-93.424469999999999</v>
      </c>
      <c r="U109" t="s">
        <v>467</v>
      </c>
      <c r="V109">
        <v>1</v>
      </c>
      <c r="W109" t="s">
        <v>457</v>
      </c>
      <c r="X109" t="s">
        <v>477</v>
      </c>
      <c r="Y109" t="s">
        <v>436</v>
      </c>
      <c r="Z109" t="s">
        <v>494</v>
      </c>
    </row>
    <row r="110" spans="1:26" x14ac:dyDescent="0.25">
      <c r="A110">
        <v>75</v>
      </c>
      <c r="B110" t="s">
        <v>419</v>
      </c>
      <c r="C110" t="s">
        <v>435</v>
      </c>
      <c r="D110">
        <v>0.86199999999999999</v>
      </c>
      <c r="E110" t="s">
        <v>421</v>
      </c>
      <c r="F110">
        <v>43108</v>
      </c>
      <c r="G110" t="s">
        <v>422</v>
      </c>
      <c r="H110">
        <v>180002965</v>
      </c>
      <c r="I110">
        <v>0</v>
      </c>
      <c r="J110" t="s">
        <v>423</v>
      </c>
      <c r="K110" t="s">
        <v>439</v>
      </c>
      <c r="L110" t="s">
        <v>440</v>
      </c>
      <c r="M110">
        <v>2603</v>
      </c>
      <c r="N110" t="s">
        <v>433</v>
      </c>
      <c r="O110">
        <v>750</v>
      </c>
      <c r="P110" t="s">
        <v>213</v>
      </c>
      <c r="Q110">
        <v>11177577</v>
      </c>
      <c r="R110">
        <v>179326092</v>
      </c>
      <c r="S110">
        <v>37.188609999999997</v>
      </c>
      <c r="T110">
        <v>-93.423490000000001</v>
      </c>
      <c r="U110" t="s">
        <v>467</v>
      </c>
      <c r="V110">
        <v>2</v>
      </c>
      <c r="W110" t="s">
        <v>213</v>
      </c>
      <c r="X110" t="s">
        <v>477</v>
      </c>
      <c r="Y110" t="s">
        <v>436</v>
      </c>
      <c r="Z110" t="s">
        <v>495</v>
      </c>
    </row>
    <row r="111" spans="1:26" x14ac:dyDescent="0.25">
      <c r="A111">
        <v>76</v>
      </c>
      <c r="B111" t="s">
        <v>419</v>
      </c>
      <c r="C111" t="s">
        <v>435</v>
      </c>
      <c r="D111">
        <v>2.2200000000000002</v>
      </c>
      <c r="E111" t="s">
        <v>428</v>
      </c>
      <c r="F111">
        <v>43373</v>
      </c>
      <c r="G111" t="s">
        <v>431</v>
      </c>
      <c r="H111">
        <v>180004136</v>
      </c>
      <c r="I111">
        <v>526664</v>
      </c>
      <c r="J111" t="s">
        <v>444</v>
      </c>
      <c r="K111" t="s">
        <v>424</v>
      </c>
      <c r="L111" t="s">
        <v>425</v>
      </c>
      <c r="M111">
        <v>2603</v>
      </c>
      <c r="N111" t="s">
        <v>449</v>
      </c>
      <c r="O111">
        <v>1955</v>
      </c>
      <c r="P111" t="s">
        <v>213</v>
      </c>
      <c r="Q111">
        <v>11141883</v>
      </c>
      <c r="R111">
        <v>177444981</v>
      </c>
      <c r="S111">
        <v>37.169240000000002</v>
      </c>
      <c r="T111">
        <v>-93.424090000000007</v>
      </c>
      <c r="U111" t="s">
        <v>467</v>
      </c>
      <c r="V111">
        <v>2</v>
      </c>
      <c r="W111" t="s">
        <v>213</v>
      </c>
      <c r="X111" t="s">
        <v>477</v>
      </c>
      <c r="Y111" t="s">
        <v>436</v>
      </c>
      <c r="Z111" t="s">
        <v>496</v>
      </c>
    </row>
    <row r="112" spans="1:26" x14ac:dyDescent="0.25">
      <c r="A112">
        <v>77</v>
      </c>
      <c r="B112" t="s">
        <v>419</v>
      </c>
      <c r="C112" t="s">
        <v>462</v>
      </c>
      <c r="D112">
        <v>8.9999999999999993E-3</v>
      </c>
      <c r="E112" t="s">
        <v>421</v>
      </c>
      <c r="F112">
        <v>43102</v>
      </c>
      <c r="G112" t="s">
        <v>422</v>
      </c>
      <c r="H112">
        <v>180002969</v>
      </c>
      <c r="I112">
        <v>532775</v>
      </c>
      <c r="J112" t="s">
        <v>438</v>
      </c>
      <c r="K112" t="s">
        <v>424</v>
      </c>
      <c r="L112" t="s">
        <v>497</v>
      </c>
      <c r="M112">
        <v>2611</v>
      </c>
      <c r="N112" t="s">
        <v>441</v>
      </c>
      <c r="O112">
        <v>2021</v>
      </c>
      <c r="P112" t="s">
        <v>213</v>
      </c>
      <c r="Q112">
        <v>11177585</v>
      </c>
      <c r="R112">
        <v>179326100</v>
      </c>
      <c r="S112">
        <v>37.145740000000004</v>
      </c>
      <c r="T112">
        <v>-93.428979999999996</v>
      </c>
      <c r="U112" t="s">
        <v>467</v>
      </c>
      <c r="V112">
        <v>2</v>
      </c>
      <c r="W112" t="s">
        <v>213</v>
      </c>
      <c r="X112" t="s">
        <v>477</v>
      </c>
      <c r="Y112" t="s">
        <v>436</v>
      </c>
      <c r="Z112" t="s">
        <v>479</v>
      </c>
    </row>
    <row r="113" spans="1:26" x14ac:dyDescent="0.25">
      <c r="A113">
        <v>78</v>
      </c>
      <c r="B113" t="s">
        <v>419</v>
      </c>
      <c r="C113" t="s">
        <v>429</v>
      </c>
      <c r="D113">
        <v>75.570999999999998</v>
      </c>
      <c r="E113" t="s">
        <v>421</v>
      </c>
      <c r="F113">
        <v>43104</v>
      </c>
      <c r="G113" t="s">
        <v>422</v>
      </c>
      <c r="H113">
        <v>180002972</v>
      </c>
      <c r="I113">
        <v>978769</v>
      </c>
      <c r="J113" t="s">
        <v>423</v>
      </c>
      <c r="K113" t="s">
        <v>424</v>
      </c>
      <c r="L113" t="s">
        <v>425</v>
      </c>
      <c r="M113">
        <v>7782</v>
      </c>
      <c r="N113" t="s">
        <v>453</v>
      </c>
      <c r="O113">
        <v>1659</v>
      </c>
      <c r="P113" t="s">
        <v>213</v>
      </c>
      <c r="Q113">
        <v>26957082</v>
      </c>
      <c r="R113">
        <v>201926229</v>
      </c>
      <c r="S113">
        <v>37.145510000000002</v>
      </c>
      <c r="T113">
        <v>-93.429320000000004</v>
      </c>
      <c r="U113" t="s">
        <v>467</v>
      </c>
      <c r="V113">
        <v>2</v>
      </c>
      <c r="W113" t="s">
        <v>213</v>
      </c>
      <c r="X113" t="s">
        <v>477</v>
      </c>
      <c r="Y113" t="s">
        <v>427</v>
      </c>
      <c r="Z113" t="s">
        <v>478</v>
      </c>
    </row>
    <row r="114" spans="1:26" x14ac:dyDescent="0.25">
      <c r="A114">
        <v>79</v>
      </c>
      <c r="B114" t="s">
        <v>419</v>
      </c>
      <c r="C114" t="s">
        <v>435</v>
      </c>
      <c r="D114">
        <v>0.42799999999999999</v>
      </c>
      <c r="E114" t="s">
        <v>447</v>
      </c>
      <c r="F114">
        <v>43117</v>
      </c>
      <c r="G114" t="s">
        <v>422</v>
      </c>
      <c r="H114">
        <v>180002973</v>
      </c>
      <c r="I114">
        <v>0</v>
      </c>
      <c r="J114" t="s">
        <v>444</v>
      </c>
      <c r="K114" t="s">
        <v>424</v>
      </c>
      <c r="L114" t="s">
        <v>425</v>
      </c>
      <c r="M114">
        <v>2603</v>
      </c>
      <c r="N114" t="s">
        <v>437</v>
      </c>
      <c r="O114">
        <v>218</v>
      </c>
      <c r="P114" t="s">
        <v>434</v>
      </c>
      <c r="Q114">
        <v>11177593</v>
      </c>
      <c r="R114">
        <v>179326113</v>
      </c>
      <c r="S114">
        <v>37.194899999999997</v>
      </c>
      <c r="T114">
        <v>-93.423240000000007</v>
      </c>
      <c r="U114" t="s">
        <v>467</v>
      </c>
      <c r="V114">
        <v>1</v>
      </c>
      <c r="W114" t="s">
        <v>498</v>
      </c>
      <c r="X114" t="s">
        <v>477</v>
      </c>
      <c r="Y114" t="s">
        <v>436</v>
      </c>
      <c r="Z114" t="s">
        <v>484</v>
      </c>
    </row>
    <row r="115" spans="1:26" x14ac:dyDescent="0.25">
      <c r="A115">
        <v>80</v>
      </c>
      <c r="B115" t="s">
        <v>419</v>
      </c>
      <c r="C115" t="s">
        <v>429</v>
      </c>
      <c r="D115">
        <v>75.575999999999993</v>
      </c>
      <c r="E115" t="s">
        <v>421</v>
      </c>
      <c r="F115">
        <v>43109</v>
      </c>
      <c r="G115" t="s">
        <v>422</v>
      </c>
      <c r="H115">
        <v>180002964</v>
      </c>
      <c r="I115">
        <v>978769</v>
      </c>
      <c r="J115" t="s">
        <v>423</v>
      </c>
      <c r="K115" t="s">
        <v>424</v>
      </c>
      <c r="L115" t="s">
        <v>440</v>
      </c>
      <c r="M115">
        <v>7782</v>
      </c>
      <c r="N115" t="s">
        <v>441</v>
      </c>
      <c r="O115">
        <v>1212</v>
      </c>
      <c r="P115" t="s">
        <v>213</v>
      </c>
      <c r="Q115">
        <v>26957079</v>
      </c>
      <c r="R115">
        <v>201926221</v>
      </c>
      <c r="S115">
        <v>37.14555</v>
      </c>
      <c r="T115">
        <v>-93.429249999999996</v>
      </c>
      <c r="U115" t="s">
        <v>467</v>
      </c>
      <c r="V115">
        <v>2</v>
      </c>
      <c r="W115" t="s">
        <v>213</v>
      </c>
      <c r="X115" t="s">
        <v>477</v>
      </c>
      <c r="Y115" t="s">
        <v>427</v>
      </c>
      <c r="Z115" t="s">
        <v>499</v>
      </c>
    </row>
    <row r="116" spans="1:26" x14ac:dyDescent="0.25">
      <c r="A116">
        <v>81</v>
      </c>
      <c r="B116" t="s">
        <v>419</v>
      </c>
      <c r="C116" t="s">
        <v>429</v>
      </c>
      <c r="D116">
        <v>75.557000000000002</v>
      </c>
      <c r="E116" t="s">
        <v>421</v>
      </c>
      <c r="F116">
        <v>43011</v>
      </c>
      <c r="G116" t="s">
        <v>422</v>
      </c>
      <c r="H116">
        <v>170051925</v>
      </c>
      <c r="I116">
        <v>978769</v>
      </c>
      <c r="J116" t="s">
        <v>423</v>
      </c>
      <c r="K116" t="s">
        <v>439</v>
      </c>
      <c r="L116" t="s">
        <v>440</v>
      </c>
      <c r="M116">
        <v>7782</v>
      </c>
      <c r="N116" t="s">
        <v>441</v>
      </c>
      <c r="O116">
        <v>1601</v>
      </c>
      <c r="P116" t="s">
        <v>213</v>
      </c>
      <c r="Q116">
        <v>26947857</v>
      </c>
      <c r="R116">
        <v>201893594</v>
      </c>
      <c r="S116">
        <v>37.145400000000002</v>
      </c>
      <c r="T116">
        <v>-93.429540000000003</v>
      </c>
      <c r="U116" t="s">
        <v>467</v>
      </c>
      <c r="V116">
        <v>0</v>
      </c>
      <c r="W116" t="s">
        <v>213</v>
      </c>
      <c r="X116" t="s">
        <v>213</v>
      </c>
      <c r="Y116" t="s">
        <v>427</v>
      </c>
      <c r="Z116" t="s">
        <v>213</v>
      </c>
    </row>
    <row r="117" spans="1:26" x14ac:dyDescent="0.25">
      <c r="A117">
        <v>82</v>
      </c>
      <c r="B117" t="s">
        <v>419</v>
      </c>
      <c r="C117" t="s">
        <v>429</v>
      </c>
      <c r="D117">
        <v>75.58</v>
      </c>
      <c r="E117" t="s">
        <v>421</v>
      </c>
      <c r="F117">
        <v>42968</v>
      </c>
      <c r="G117" t="s">
        <v>422</v>
      </c>
      <c r="H117">
        <v>170043551</v>
      </c>
      <c r="I117">
        <v>978769</v>
      </c>
      <c r="J117" t="s">
        <v>423</v>
      </c>
      <c r="K117" t="s">
        <v>424</v>
      </c>
      <c r="L117" t="s">
        <v>440</v>
      </c>
      <c r="M117">
        <v>7782</v>
      </c>
      <c r="N117" t="s">
        <v>433</v>
      </c>
      <c r="O117">
        <v>1627</v>
      </c>
      <c r="P117" t="s">
        <v>213</v>
      </c>
      <c r="Q117">
        <v>26947372</v>
      </c>
      <c r="R117">
        <v>201892034</v>
      </c>
      <c r="S117">
        <v>37.145580000000002</v>
      </c>
      <c r="T117">
        <v>-93.429190000000006</v>
      </c>
      <c r="U117" t="s">
        <v>467</v>
      </c>
      <c r="V117">
        <v>0</v>
      </c>
      <c r="W117" t="s">
        <v>213</v>
      </c>
      <c r="X117" t="s">
        <v>213</v>
      </c>
      <c r="Y117" t="s">
        <v>427</v>
      </c>
      <c r="Z117" t="s">
        <v>213</v>
      </c>
    </row>
    <row r="118" spans="1:26" x14ac:dyDescent="0.25">
      <c r="A118">
        <v>83</v>
      </c>
      <c r="B118" t="s">
        <v>419</v>
      </c>
      <c r="C118" t="s">
        <v>429</v>
      </c>
      <c r="D118">
        <v>75.588999999999999</v>
      </c>
      <c r="E118" t="s">
        <v>421</v>
      </c>
      <c r="F118">
        <v>42949</v>
      </c>
      <c r="G118" t="s">
        <v>422</v>
      </c>
      <c r="H118">
        <v>170043544</v>
      </c>
      <c r="I118">
        <v>532832</v>
      </c>
      <c r="J118" t="s">
        <v>423</v>
      </c>
      <c r="K118" t="s">
        <v>424</v>
      </c>
      <c r="L118" t="s">
        <v>425</v>
      </c>
      <c r="M118">
        <v>7782</v>
      </c>
      <c r="N118" t="s">
        <v>437</v>
      </c>
      <c r="O118">
        <v>1758</v>
      </c>
      <c r="P118" t="s">
        <v>213</v>
      </c>
      <c r="Q118">
        <v>26947366</v>
      </c>
      <c r="R118">
        <v>201892016</v>
      </c>
      <c r="S118">
        <v>37.145650000000003</v>
      </c>
      <c r="T118">
        <v>-93.429050000000004</v>
      </c>
      <c r="U118" t="s">
        <v>467</v>
      </c>
      <c r="V118">
        <v>0</v>
      </c>
      <c r="W118" t="s">
        <v>213</v>
      </c>
      <c r="X118" t="s">
        <v>213</v>
      </c>
      <c r="Y118" t="s">
        <v>427</v>
      </c>
      <c r="Z118" t="s">
        <v>213</v>
      </c>
    </row>
    <row r="119" spans="1:26" x14ac:dyDescent="0.25">
      <c r="A119">
        <v>84</v>
      </c>
      <c r="B119" t="s">
        <v>419</v>
      </c>
      <c r="C119" t="s">
        <v>435</v>
      </c>
      <c r="D119">
        <v>1.806</v>
      </c>
      <c r="E119" t="s">
        <v>430</v>
      </c>
      <c r="F119">
        <v>42967</v>
      </c>
      <c r="G119" t="s">
        <v>422</v>
      </c>
      <c r="H119">
        <v>170043552</v>
      </c>
      <c r="I119">
        <v>653786</v>
      </c>
      <c r="J119" t="s">
        <v>423</v>
      </c>
      <c r="K119" t="s">
        <v>424</v>
      </c>
      <c r="L119" t="s">
        <v>425</v>
      </c>
      <c r="M119">
        <v>2603</v>
      </c>
      <c r="N119" t="s">
        <v>449</v>
      </c>
      <c r="O119">
        <v>1707</v>
      </c>
      <c r="P119" t="s">
        <v>213</v>
      </c>
      <c r="Q119">
        <v>8077809</v>
      </c>
      <c r="R119">
        <v>171875783</v>
      </c>
      <c r="S119">
        <v>37.175040000000003</v>
      </c>
      <c r="T119">
        <v>-93.42501</v>
      </c>
      <c r="U119" t="s">
        <v>467</v>
      </c>
      <c r="V119">
        <v>0</v>
      </c>
      <c r="W119" t="s">
        <v>213</v>
      </c>
      <c r="X119" t="s">
        <v>213</v>
      </c>
      <c r="Y119" t="s">
        <v>436</v>
      </c>
      <c r="Z119" t="s">
        <v>213</v>
      </c>
    </row>
    <row r="120" spans="1:26" x14ac:dyDescent="0.25">
      <c r="A120">
        <v>85</v>
      </c>
      <c r="B120" t="s">
        <v>419</v>
      </c>
      <c r="C120" t="s">
        <v>429</v>
      </c>
      <c r="D120">
        <v>75.58</v>
      </c>
      <c r="E120" t="s">
        <v>421</v>
      </c>
      <c r="F120">
        <v>42934</v>
      </c>
      <c r="G120" t="s">
        <v>422</v>
      </c>
      <c r="H120">
        <v>170040404</v>
      </c>
      <c r="I120">
        <v>978769</v>
      </c>
      <c r="J120" t="s">
        <v>438</v>
      </c>
      <c r="K120" t="s">
        <v>424</v>
      </c>
      <c r="L120" t="s">
        <v>425</v>
      </c>
      <c r="M120">
        <v>7782</v>
      </c>
      <c r="N120" t="s">
        <v>441</v>
      </c>
      <c r="O120">
        <v>2119</v>
      </c>
      <c r="P120" t="s">
        <v>213</v>
      </c>
      <c r="Q120">
        <v>26947205</v>
      </c>
      <c r="R120">
        <v>201891475</v>
      </c>
      <c r="S120">
        <v>37.145580000000002</v>
      </c>
      <c r="T120">
        <v>-93.429190000000006</v>
      </c>
      <c r="U120" t="s">
        <v>467</v>
      </c>
      <c r="V120">
        <v>0</v>
      </c>
      <c r="W120" t="s">
        <v>213</v>
      </c>
      <c r="X120" t="s">
        <v>213</v>
      </c>
      <c r="Y120" t="s">
        <v>427</v>
      </c>
      <c r="Z120" t="s">
        <v>213</v>
      </c>
    </row>
    <row r="121" spans="1:26" x14ac:dyDescent="0.25">
      <c r="A121">
        <v>86</v>
      </c>
      <c r="B121" t="s">
        <v>419</v>
      </c>
      <c r="C121" t="s">
        <v>435</v>
      </c>
      <c r="D121">
        <v>3.8879999999999999</v>
      </c>
      <c r="E121" t="s">
        <v>447</v>
      </c>
      <c r="F121">
        <v>42961</v>
      </c>
      <c r="G121" t="s">
        <v>422</v>
      </c>
      <c r="H121">
        <v>170043542</v>
      </c>
      <c r="I121">
        <v>978773</v>
      </c>
      <c r="J121" t="s">
        <v>444</v>
      </c>
      <c r="K121" t="s">
        <v>439</v>
      </c>
      <c r="L121" t="s">
        <v>425</v>
      </c>
      <c r="M121">
        <v>2603</v>
      </c>
      <c r="N121" t="s">
        <v>433</v>
      </c>
      <c r="O121">
        <v>2130</v>
      </c>
      <c r="P121" t="s">
        <v>434</v>
      </c>
      <c r="Q121">
        <v>9314975</v>
      </c>
      <c r="R121">
        <v>173588071</v>
      </c>
      <c r="S121">
        <v>37.146439999999998</v>
      </c>
      <c r="T121">
        <v>-93.429580000000001</v>
      </c>
      <c r="U121" t="s">
        <v>467</v>
      </c>
      <c r="V121">
        <v>0</v>
      </c>
      <c r="W121" t="s">
        <v>500</v>
      </c>
      <c r="X121" t="s">
        <v>213</v>
      </c>
      <c r="Y121" t="s">
        <v>436</v>
      </c>
      <c r="Z121" t="s">
        <v>213</v>
      </c>
    </row>
    <row r="122" spans="1:26" x14ac:dyDescent="0.25">
      <c r="A122">
        <v>87</v>
      </c>
      <c r="B122" t="s">
        <v>419</v>
      </c>
      <c r="C122" t="s">
        <v>429</v>
      </c>
      <c r="D122">
        <v>75.594999999999999</v>
      </c>
      <c r="E122" t="s">
        <v>430</v>
      </c>
      <c r="F122">
        <v>42873</v>
      </c>
      <c r="G122" t="s">
        <v>422</v>
      </c>
      <c r="H122">
        <v>170029785</v>
      </c>
      <c r="I122">
        <v>532832</v>
      </c>
      <c r="J122" t="s">
        <v>423</v>
      </c>
      <c r="K122" t="s">
        <v>424</v>
      </c>
      <c r="L122" t="s">
        <v>425</v>
      </c>
      <c r="M122">
        <v>7782</v>
      </c>
      <c r="N122" t="s">
        <v>453</v>
      </c>
      <c r="O122">
        <v>1634</v>
      </c>
      <c r="P122" t="s">
        <v>213</v>
      </c>
      <c r="Q122">
        <v>26946541</v>
      </c>
      <c r="R122">
        <v>201889266</v>
      </c>
      <c r="S122">
        <v>37.145699999999998</v>
      </c>
      <c r="T122">
        <v>-93.428960000000004</v>
      </c>
      <c r="U122" t="s">
        <v>467</v>
      </c>
      <c r="V122">
        <v>0</v>
      </c>
      <c r="W122" t="s">
        <v>213</v>
      </c>
      <c r="X122" t="s">
        <v>213</v>
      </c>
      <c r="Y122" t="s">
        <v>427</v>
      </c>
      <c r="Z122" t="s">
        <v>213</v>
      </c>
    </row>
    <row r="123" spans="1:26" x14ac:dyDescent="0.25">
      <c r="A123">
        <v>88</v>
      </c>
      <c r="B123" t="s">
        <v>419</v>
      </c>
      <c r="C123" t="s">
        <v>435</v>
      </c>
      <c r="D123">
        <v>1.827</v>
      </c>
      <c r="E123" t="s">
        <v>458</v>
      </c>
      <c r="F123">
        <v>43018</v>
      </c>
      <c r="G123" t="s">
        <v>442</v>
      </c>
      <c r="H123">
        <v>170058258</v>
      </c>
      <c r="I123">
        <v>653786</v>
      </c>
      <c r="J123" t="s">
        <v>438</v>
      </c>
      <c r="K123" t="s">
        <v>439</v>
      </c>
      <c r="L123" t="s">
        <v>448</v>
      </c>
      <c r="M123">
        <v>2603</v>
      </c>
      <c r="N123" t="s">
        <v>441</v>
      </c>
      <c r="O123">
        <v>2010</v>
      </c>
      <c r="P123" t="s">
        <v>213</v>
      </c>
      <c r="Q123">
        <v>9605717</v>
      </c>
      <c r="R123">
        <v>175271745</v>
      </c>
      <c r="S123">
        <v>37.17474</v>
      </c>
      <c r="T123">
        <v>-93.425120000000007</v>
      </c>
      <c r="U123" t="s">
        <v>467</v>
      </c>
      <c r="V123">
        <v>0</v>
      </c>
      <c r="W123" t="s">
        <v>213</v>
      </c>
      <c r="X123" t="s">
        <v>213</v>
      </c>
      <c r="Y123" t="s">
        <v>436</v>
      </c>
      <c r="Z123" t="s">
        <v>213</v>
      </c>
    </row>
    <row r="124" spans="1:26" x14ac:dyDescent="0.25">
      <c r="A124">
        <v>89</v>
      </c>
      <c r="B124" t="s">
        <v>419</v>
      </c>
      <c r="C124" t="s">
        <v>420</v>
      </c>
      <c r="D124">
        <v>265.06299999999999</v>
      </c>
      <c r="E124" t="s">
        <v>421</v>
      </c>
      <c r="F124">
        <v>43011</v>
      </c>
      <c r="G124" t="s">
        <v>422</v>
      </c>
      <c r="H124">
        <v>170051909</v>
      </c>
      <c r="I124">
        <v>532775</v>
      </c>
      <c r="J124" t="s">
        <v>501</v>
      </c>
      <c r="K124" t="s">
        <v>439</v>
      </c>
      <c r="L124" t="s">
        <v>440</v>
      </c>
      <c r="M124">
        <v>7783</v>
      </c>
      <c r="N124" t="s">
        <v>441</v>
      </c>
      <c r="O124">
        <v>2031</v>
      </c>
      <c r="P124" t="s">
        <v>213</v>
      </c>
      <c r="Q124">
        <v>35489969</v>
      </c>
      <c r="R124">
        <v>214829082</v>
      </c>
      <c r="S124">
        <v>37.145940000000003</v>
      </c>
      <c r="T124">
        <v>-93.428899999999999</v>
      </c>
      <c r="U124" t="s">
        <v>467</v>
      </c>
      <c r="V124">
        <v>0</v>
      </c>
      <c r="W124" t="s">
        <v>213</v>
      </c>
      <c r="X124" t="s">
        <v>213</v>
      </c>
      <c r="Y124" t="s">
        <v>427</v>
      </c>
      <c r="Z124" t="s">
        <v>213</v>
      </c>
    </row>
    <row r="125" spans="1:26" x14ac:dyDescent="0.25">
      <c r="A125">
        <v>90</v>
      </c>
      <c r="B125" t="s">
        <v>419</v>
      </c>
      <c r="C125" t="s">
        <v>435</v>
      </c>
      <c r="D125">
        <v>3.9260000000000002</v>
      </c>
      <c r="E125" t="s">
        <v>421</v>
      </c>
      <c r="F125">
        <v>43028</v>
      </c>
      <c r="G125" t="s">
        <v>422</v>
      </c>
      <c r="H125">
        <v>170051922</v>
      </c>
      <c r="I125">
        <v>978773</v>
      </c>
      <c r="J125" t="s">
        <v>423</v>
      </c>
      <c r="K125" t="s">
        <v>424</v>
      </c>
      <c r="L125" t="s">
        <v>425</v>
      </c>
      <c r="M125">
        <v>2603</v>
      </c>
      <c r="N125" t="s">
        <v>426</v>
      </c>
      <c r="O125">
        <v>1345</v>
      </c>
      <c r="P125" t="s">
        <v>213</v>
      </c>
      <c r="Q125">
        <v>9459092</v>
      </c>
      <c r="R125">
        <v>173889336</v>
      </c>
      <c r="S125">
        <v>37.146000000000001</v>
      </c>
      <c r="T125">
        <v>-93.429190000000006</v>
      </c>
      <c r="U125" t="s">
        <v>467</v>
      </c>
      <c r="V125">
        <v>0</v>
      </c>
      <c r="W125" t="s">
        <v>213</v>
      </c>
      <c r="X125" t="s">
        <v>213</v>
      </c>
      <c r="Y125" t="s">
        <v>436</v>
      </c>
      <c r="Z125" t="s">
        <v>213</v>
      </c>
    </row>
    <row r="126" spans="1:26" x14ac:dyDescent="0.25">
      <c r="A126">
        <v>91</v>
      </c>
      <c r="B126" t="s">
        <v>419</v>
      </c>
      <c r="C126" t="s">
        <v>420</v>
      </c>
      <c r="D126">
        <v>265.03199999999998</v>
      </c>
      <c r="E126" t="s">
        <v>421</v>
      </c>
      <c r="F126">
        <v>42987</v>
      </c>
      <c r="G126" t="s">
        <v>422</v>
      </c>
      <c r="H126">
        <v>170047057</v>
      </c>
      <c r="I126">
        <v>978772</v>
      </c>
      <c r="J126" t="s">
        <v>423</v>
      </c>
      <c r="K126" t="s">
        <v>424</v>
      </c>
      <c r="L126" t="s">
        <v>425</v>
      </c>
      <c r="M126">
        <v>7783</v>
      </c>
      <c r="N126" t="s">
        <v>432</v>
      </c>
      <c r="O126">
        <v>1146</v>
      </c>
      <c r="P126" t="s">
        <v>213</v>
      </c>
      <c r="Q126">
        <v>35489738</v>
      </c>
      <c r="R126">
        <v>214828425</v>
      </c>
      <c r="S126">
        <v>37.146180000000001</v>
      </c>
      <c r="T126">
        <v>-93.428439999999995</v>
      </c>
      <c r="U126" t="s">
        <v>467</v>
      </c>
      <c r="V126">
        <v>0</v>
      </c>
      <c r="W126" t="s">
        <v>213</v>
      </c>
      <c r="X126" t="s">
        <v>213</v>
      </c>
      <c r="Y126" t="s">
        <v>427</v>
      </c>
      <c r="Z126" t="s">
        <v>213</v>
      </c>
    </row>
    <row r="127" spans="1:26" x14ac:dyDescent="0.25">
      <c r="A127">
        <v>92</v>
      </c>
      <c r="B127" t="s">
        <v>419</v>
      </c>
      <c r="C127" t="s">
        <v>435</v>
      </c>
      <c r="D127">
        <v>0.17799999999999999</v>
      </c>
      <c r="E127" t="s">
        <v>430</v>
      </c>
      <c r="F127">
        <v>43697</v>
      </c>
      <c r="G127" t="s">
        <v>422</v>
      </c>
      <c r="H127">
        <v>3190022791</v>
      </c>
      <c r="I127">
        <v>519586</v>
      </c>
      <c r="J127" t="s">
        <v>423</v>
      </c>
      <c r="K127" t="s">
        <v>424</v>
      </c>
      <c r="L127" t="s">
        <v>425</v>
      </c>
      <c r="M127">
        <v>2603</v>
      </c>
      <c r="N127" t="s">
        <v>441</v>
      </c>
      <c r="O127">
        <v>737</v>
      </c>
      <c r="P127" t="s">
        <v>213</v>
      </c>
      <c r="Q127">
        <v>20394057</v>
      </c>
      <c r="R127">
        <v>191040567</v>
      </c>
      <c r="S127">
        <v>37.198529999999998</v>
      </c>
      <c r="T127">
        <v>-93.423119999999997</v>
      </c>
      <c r="U127" t="s">
        <v>467</v>
      </c>
      <c r="V127">
        <v>2</v>
      </c>
      <c r="W127" t="s">
        <v>213</v>
      </c>
      <c r="X127" t="s">
        <v>477</v>
      </c>
      <c r="Y127" t="s">
        <v>436</v>
      </c>
      <c r="Z127" t="s">
        <v>484</v>
      </c>
    </row>
    <row r="128" spans="1:26" x14ac:dyDescent="0.25">
      <c r="A128">
        <v>93</v>
      </c>
      <c r="B128" t="s">
        <v>419</v>
      </c>
      <c r="C128" t="s">
        <v>435</v>
      </c>
      <c r="D128">
        <v>2.2200000000000002</v>
      </c>
      <c r="E128" t="s">
        <v>428</v>
      </c>
      <c r="F128">
        <v>43496</v>
      </c>
      <c r="G128" t="s">
        <v>442</v>
      </c>
      <c r="H128">
        <v>190011186</v>
      </c>
      <c r="I128">
        <v>526664</v>
      </c>
      <c r="J128" t="s">
        <v>423</v>
      </c>
      <c r="K128" t="s">
        <v>424</v>
      </c>
      <c r="L128" t="s">
        <v>440</v>
      </c>
      <c r="M128">
        <v>2603</v>
      </c>
      <c r="N128" t="s">
        <v>453</v>
      </c>
      <c r="O128">
        <v>1639</v>
      </c>
      <c r="P128" t="s">
        <v>213</v>
      </c>
      <c r="Q128">
        <v>16305240</v>
      </c>
      <c r="R128">
        <v>186917043</v>
      </c>
      <c r="S128">
        <v>37.169240000000002</v>
      </c>
      <c r="T128">
        <v>-93.424090000000007</v>
      </c>
      <c r="U128" t="s">
        <v>467</v>
      </c>
      <c r="V128">
        <v>4</v>
      </c>
      <c r="W128" t="s">
        <v>213</v>
      </c>
      <c r="X128" t="s">
        <v>477</v>
      </c>
      <c r="Y128" t="s">
        <v>436</v>
      </c>
      <c r="Z128" t="s">
        <v>496</v>
      </c>
    </row>
    <row r="129" spans="1:26" x14ac:dyDescent="0.25">
      <c r="A129">
        <v>94</v>
      </c>
      <c r="B129" t="s">
        <v>419</v>
      </c>
      <c r="C129" t="s">
        <v>435</v>
      </c>
      <c r="D129">
        <v>2.5499999999999998</v>
      </c>
      <c r="E129" t="s">
        <v>502</v>
      </c>
      <c r="F129">
        <v>43477</v>
      </c>
      <c r="G129" t="s">
        <v>422</v>
      </c>
      <c r="H129">
        <v>190011187</v>
      </c>
      <c r="I129">
        <v>527743</v>
      </c>
      <c r="J129" t="s">
        <v>423</v>
      </c>
      <c r="K129" t="s">
        <v>424</v>
      </c>
      <c r="L129" t="s">
        <v>440</v>
      </c>
      <c r="M129">
        <v>2603</v>
      </c>
      <c r="N129" t="s">
        <v>432</v>
      </c>
      <c r="O129">
        <v>1236</v>
      </c>
      <c r="P129" t="s">
        <v>213</v>
      </c>
      <c r="Q129">
        <v>16305242</v>
      </c>
      <c r="R129">
        <v>186917046</v>
      </c>
      <c r="S129">
        <v>37.164450000000002</v>
      </c>
      <c r="T129">
        <v>-93.424229999999994</v>
      </c>
      <c r="U129" t="s">
        <v>467</v>
      </c>
      <c r="V129">
        <v>2</v>
      </c>
      <c r="W129" t="s">
        <v>213</v>
      </c>
      <c r="X129" t="s">
        <v>477</v>
      </c>
      <c r="Y129" t="s">
        <v>436</v>
      </c>
      <c r="Z129" t="s">
        <v>503</v>
      </c>
    </row>
    <row r="130" spans="1:26" x14ac:dyDescent="0.25">
      <c r="A130">
        <v>95</v>
      </c>
      <c r="B130" t="s">
        <v>419</v>
      </c>
      <c r="C130" t="s">
        <v>435</v>
      </c>
      <c r="D130">
        <v>1.806</v>
      </c>
      <c r="E130" t="s">
        <v>430</v>
      </c>
      <c r="F130">
        <v>43479</v>
      </c>
      <c r="G130" t="s">
        <v>422</v>
      </c>
      <c r="H130">
        <v>190011190</v>
      </c>
      <c r="I130">
        <v>653786</v>
      </c>
      <c r="J130" t="s">
        <v>444</v>
      </c>
      <c r="K130" t="s">
        <v>424</v>
      </c>
      <c r="L130" t="s">
        <v>425</v>
      </c>
      <c r="M130">
        <v>2603</v>
      </c>
      <c r="N130" t="s">
        <v>433</v>
      </c>
      <c r="O130">
        <v>1805</v>
      </c>
      <c r="P130" t="s">
        <v>213</v>
      </c>
      <c r="Q130">
        <v>16305249</v>
      </c>
      <c r="R130">
        <v>186917057</v>
      </c>
      <c r="S130">
        <v>37.175040000000003</v>
      </c>
      <c r="T130">
        <v>-93.425020000000004</v>
      </c>
      <c r="U130" t="s">
        <v>467</v>
      </c>
      <c r="V130">
        <v>2</v>
      </c>
      <c r="W130" t="s">
        <v>213</v>
      </c>
      <c r="X130" t="s">
        <v>485</v>
      </c>
      <c r="Y130" t="s">
        <v>436</v>
      </c>
      <c r="Z130" t="s">
        <v>504</v>
      </c>
    </row>
    <row r="131" spans="1:26" x14ac:dyDescent="0.25">
      <c r="A131">
        <v>96</v>
      </c>
      <c r="B131" t="s">
        <v>419</v>
      </c>
      <c r="C131" t="s">
        <v>462</v>
      </c>
      <c r="D131">
        <v>1.2E-2</v>
      </c>
      <c r="E131" t="s">
        <v>464</v>
      </c>
      <c r="F131">
        <v>43480</v>
      </c>
      <c r="G131" t="s">
        <v>422</v>
      </c>
      <c r="H131">
        <v>190011191</v>
      </c>
      <c r="I131">
        <v>532775</v>
      </c>
      <c r="J131" t="s">
        <v>438</v>
      </c>
      <c r="K131" t="s">
        <v>424</v>
      </c>
      <c r="L131" t="s">
        <v>425</v>
      </c>
      <c r="M131">
        <v>2611</v>
      </c>
      <c r="N131" t="s">
        <v>441</v>
      </c>
      <c r="O131">
        <v>1954</v>
      </c>
      <c r="P131" t="s">
        <v>213</v>
      </c>
      <c r="Q131">
        <v>16305251</v>
      </c>
      <c r="R131">
        <v>186917060</v>
      </c>
      <c r="S131">
        <v>37.145699999999998</v>
      </c>
      <c r="T131">
        <v>-93.428960000000004</v>
      </c>
      <c r="U131" t="s">
        <v>467</v>
      </c>
      <c r="V131">
        <v>2</v>
      </c>
      <c r="W131" t="s">
        <v>213</v>
      </c>
      <c r="X131" t="s">
        <v>477</v>
      </c>
      <c r="Y131" t="s">
        <v>436</v>
      </c>
      <c r="Z131" t="s">
        <v>479</v>
      </c>
    </row>
    <row r="132" spans="1:26" x14ac:dyDescent="0.25">
      <c r="A132">
        <v>97</v>
      </c>
      <c r="B132" t="s">
        <v>419</v>
      </c>
      <c r="C132" t="s">
        <v>463</v>
      </c>
      <c r="D132">
        <v>0.23499999999999999</v>
      </c>
      <c r="E132" t="s">
        <v>458</v>
      </c>
      <c r="F132">
        <v>43488</v>
      </c>
      <c r="G132" t="s">
        <v>422</v>
      </c>
      <c r="H132">
        <v>190011193</v>
      </c>
      <c r="I132">
        <v>1067307</v>
      </c>
      <c r="J132" t="s">
        <v>423</v>
      </c>
      <c r="K132" t="s">
        <v>481</v>
      </c>
      <c r="L132" t="s">
        <v>440</v>
      </c>
      <c r="M132">
        <v>1050977</v>
      </c>
      <c r="N132" t="s">
        <v>437</v>
      </c>
      <c r="O132">
        <v>654</v>
      </c>
      <c r="P132" t="s">
        <v>213</v>
      </c>
      <c r="Q132">
        <v>16305255</v>
      </c>
      <c r="R132">
        <v>186917066</v>
      </c>
      <c r="S132">
        <v>37.187860000000001</v>
      </c>
      <c r="T132">
        <v>-93.423540000000003</v>
      </c>
      <c r="U132" t="s">
        <v>465</v>
      </c>
      <c r="V132">
        <v>2</v>
      </c>
      <c r="W132" t="s">
        <v>213</v>
      </c>
      <c r="X132" t="s">
        <v>477</v>
      </c>
      <c r="Y132" t="s">
        <v>466</v>
      </c>
      <c r="Z132" t="s">
        <v>478</v>
      </c>
    </row>
    <row r="133" spans="1:26" x14ac:dyDescent="0.25">
      <c r="A133">
        <v>98</v>
      </c>
      <c r="B133" t="s">
        <v>419</v>
      </c>
      <c r="C133" t="s">
        <v>435</v>
      </c>
      <c r="D133">
        <v>0.434</v>
      </c>
      <c r="E133" t="s">
        <v>505</v>
      </c>
      <c r="F133">
        <v>43777</v>
      </c>
      <c r="G133" t="s">
        <v>422</v>
      </c>
      <c r="H133">
        <v>3190030530</v>
      </c>
      <c r="I133">
        <v>0</v>
      </c>
      <c r="J133" t="s">
        <v>444</v>
      </c>
      <c r="K133" t="s">
        <v>424</v>
      </c>
      <c r="L133" t="s">
        <v>425</v>
      </c>
      <c r="M133">
        <v>2603</v>
      </c>
      <c r="N133" t="s">
        <v>426</v>
      </c>
      <c r="O133">
        <v>220</v>
      </c>
      <c r="P133" t="s">
        <v>434</v>
      </c>
      <c r="Q133">
        <v>20395652</v>
      </c>
      <c r="R133">
        <v>191043893</v>
      </c>
      <c r="S133">
        <v>37.194809999999997</v>
      </c>
      <c r="T133">
        <v>-93.423240000000007</v>
      </c>
      <c r="U133" t="s">
        <v>467</v>
      </c>
      <c r="V133">
        <v>1</v>
      </c>
      <c r="W133" t="s">
        <v>213</v>
      </c>
      <c r="X133" t="s">
        <v>477</v>
      </c>
      <c r="Y133" t="s">
        <v>436</v>
      </c>
      <c r="Z133" t="s">
        <v>489</v>
      </c>
    </row>
    <row r="134" spans="1:26" x14ac:dyDescent="0.25">
      <c r="A134">
        <v>99</v>
      </c>
      <c r="B134" t="s">
        <v>419</v>
      </c>
      <c r="C134" t="s">
        <v>429</v>
      </c>
      <c r="D134">
        <v>75.584999999999994</v>
      </c>
      <c r="E134" t="s">
        <v>421</v>
      </c>
      <c r="F134">
        <v>43267</v>
      </c>
      <c r="G134" t="s">
        <v>422</v>
      </c>
      <c r="H134">
        <v>180022931</v>
      </c>
      <c r="I134">
        <v>978769</v>
      </c>
      <c r="J134" t="s">
        <v>423</v>
      </c>
      <c r="K134" t="s">
        <v>424</v>
      </c>
      <c r="L134" t="s">
        <v>425</v>
      </c>
      <c r="M134">
        <v>7782</v>
      </c>
      <c r="N134" t="s">
        <v>432</v>
      </c>
      <c r="O134">
        <v>1828</v>
      </c>
      <c r="P134" t="s">
        <v>213</v>
      </c>
      <c r="Q134">
        <v>26958212</v>
      </c>
      <c r="R134">
        <v>201929699</v>
      </c>
      <c r="S134">
        <v>37.145620000000001</v>
      </c>
      <c r="T134">
        <v>-93.429119999999998</v>
      </c>
      <c r="U134" t="s">
        <v>467</v>
      </c>
      <c r="V134">
        <v>2</v>
      </c>
      <c r="W134" t="s">
        <v>213</v>
      </c>
      <c r="X134" t="s">
        <v>477</v>
      </c>
      <c r="Y134" t="s">
        <v>427</v>
      </c>
      <c r="Z134" t="s">
        <v>499</v>
      </c>
    </row>
    <row r="135" spans="1:26" x14ac:dyDescent="0.25">
      <c r="A135">
        <v>100</v>
      </c>
      <c r="B135" t="s">
        <v>419</v>
      </c>
      <c r="C135" t="s">
        <v>435</v>
      </c>
      <c r="D135">
        <v>1.7250000000000001</v>
      </c>
      <c r="E135" t="s">
        <v>447</v>
      </c>
      <c r="F135">
        <v>43385</v>
      </c>
      <c r="G135" t="s">
        <v>422</v>
      </c>
      <c r="H135">
        <v>180038475</v>
      </c>
      <c r="I135">
        <v>0</v>
      </c>
      <c r="J135" t="s">
        <v>423</v>
      </c>
      <c r="K135" t="s">
        <v>439</v>
      </c>
      <c r="L135" t="s">
        <v>448</v>
      </c>
      <c r="M135">
        <v>2603</v>
      </c>
      <c r="N135" t="s">
        <v>426</v>
      </c>
      <c r="O135">
        <v>820</v>
      </c>
      <c r="P135" t="s">
        <v>455</v>
      </c>
      <c r="Q135">
        <v>20364648</v>
      </c>
      <c r="R135">
        <v>190976579</v>
      </c>
      <c r="S135">
        <v>37.176160000000003</v>
      </c>
      <c r="T135">
        <v>-93.424599999999998</v>
      </c>
      <c r="U135" t="s">
        <v>467</v>
      </c>
      <c r="V135">
        <v>1</v>
      </c>
      <c r="W135" t="s">
        <v>506</v>
      </c>
      <c r="X135" t="s">
        <v>477</v>
      </c>
      <c r="Y135" t="s">
        <v>436</v>
      </c>
      <c r="Z135" t="s">
        <v>488</v>
      </c>
    </row>
    <row r="136" spans="1:26" x14ac:dyDescent="0.25">
      <c r="A136">
        <v>101</v>
      </c>
      <c r="B136" t="s">
        <v>419</v>
      </c>
      <c r="C136" t="s">
        <v>435</v>
      </c>
      <c r="D136">
        <v>1.7250000000000001</v>
      </c>
      <c r="E136" t="s">
        <v>459</v>
      </c>
      <c r="F136">
        <v>43399</v>
      </c>
      <c r="G136" t="s">
        <v>442</v>
      </c>
      <c r="H136">
        <v>180038479</v>
      </c>
      <c r="I136">
        <v>0</v>
      </c>
      <c r="J136" t="s">
        <v>438</v>
      </c>
      <c r="K136" t="s">
        <v>439</v>
      </c>
      <c r="L136" t="s">
        <v>448</v>
      </c>
      <c r="M136">
        <v>2603</v>
      </c>
      <c r="N136" t="s">
        <v>426</v>
      </c>
      <c r="O136">
        <v>751</v>
      </c>
      <c r="P136" t="s">
        <v>213</v>
      </c>
      <c r="Q136">
        <v>20364650</v>
      </c>
      <c r="R136">
        <v>190976583</v>
      </c>
      <c r="S136">
        <v>37.176160000000003</v>
      </c>
      <c r="T136">
        <v>-93.424599999999998</v>
      </c>
      <c r="U136" t="s">
        <v>467</v>
      </c>
      <c r="V136">
        <v>2</v>
      </c>
      <c r="W136" t="s">
        <v>213</v>
      </c>
      <c r="X136" t="s">
        <v>477</v>
      </c>
      <c r="Y136" t="s">
        <v>436</v>
      </c>
      <c r="Z136" t="s">
        <v>488</v>
      </c>
    </row>
    <row r="137" spans="1:26" x14ac:dyDescent="0.25">
      <c r="A137">
        <v>102</v>
      </c>
      <c r="B137" t="s">
        <v>419</v>
      </c>
      <c r="C137" t="s">
        <v>429</v>
      </c>
      <c r="D137">
        <v>75.590999999999994</v>
      </c>
      <c r="E137" t="s">
        <v>421</v>
      </c>
      <c r="F137">
        <v>43390</v>
      </c>
      <c r="G137" t="s">
        <v>422</v>
      </c>
      <c r="H137">
        <v>180038485</v>
      </c>
      <c r="I137">
        <v>532832</v>
      </c>
      <c r="J137" t="s">
        <v>423</v>
      </c>
      <c r="K137" t="s">
        <v>424</v>
      </c>
      <c r="L137" t="s">
        <v>425</v>
      </c>
      <c r="M137">
        <v>7782</v>
      </c>
      <c r="N137" t="s">
        <v>437</v>
      </c>
      <c r="O137">
        <v>1408</v>
      </c>
      <c r="P137" t="s">
        <v>213</v>
      </c>
      <c r="Q137">
        <v>26959056</v>
      </c>
      <c r="R137">
        <v>201932339</v>
      </c>
      <c r="S137">
        <v>37.145670000000003</v>
      </c>
      <c r="T137">
        <v>-93.429019999999994</v>
      </c>
      <c r="U137" t="s">
        <v>467</v>
      </c>
      <c r="V137">
        <v>2</v>
      </c>
      <c r="W137" t="s">
        <v>213</v>
      </c>
      <c r="X137" t="s">
        <v>477</v>
      </c>
      <c r="Y137" t="s">
        <v>427</v>
      </c>
      <c r="Z137" t="s">
        <v>478</v>
      </c>
    </row>
    <row r="138" spans="1:26" x14ac:dyDescent="0.25">
      <c r="A138">
        <v>103</v>
      </c>
      <c r="B138" t="s">
        <v>419</v>
      </c>
      <c r="C138" t="s">
        <v>435</v>
      </c>
      <c r="D138">
        <v>2.9350000000000001</v>
      </c>
      <c r="E138" t="s">
        <v>421</v>
      </c>
      <c r="F138">
        <v>43377</v>
      </c>
      <c r="G138" t="s">
        <v>422</v>
      </c>
      <c r="H138">
        <v>180038486</v>
      </c>
      <c r="I138">
        <v>0</v>
      </c>
      <c r="J138" t="s">
        <v>423</v>
      </c>
      <c r="K138" t="s">
        <v>439</v>
      </c>
      <c r="L138" t="s">
        <v>448</v>
      </c>
      <c r="M138">
        <v>2603</v>
      </c>
      <c r="N138" t="s">
        <v>453</v>
      </c>
      <c r="O138">
        <v>647</v>
      </c>
      <c r="P138" t="s">
        <v>213</v>
      </c>
      <c r="Q138">
        <v>14662211</v>
      </c>
      <c r="R138">
        <v>184492601</v>
      </c>
      <c r="S138">
        <v>37.15887</v>
      </c>
      <c r="T138">
        <v>-93.424369999999996</v>
      </c>
      <c r="U138" t="s">
        <v>467</v>
      </c>
      <c r="V138">
        <v>2</v>
      </c>
      <c r="W138" t="s">
        <v>213</v>
      </c>
      <c r="X138" t="s">
        <v>477</v>
      </c>
      <c r="Y138" t="s">
        <v>436</v>
      </c>
      <c r="Z138" t="s">
        <v>507</v>
      </c>
    </row>
    <row r="139" spans="1:26" x14ac:dyDescent="0.25">
      <c r="A139">
        <v>104</v>
      </c>
      <c r="B139" t="s">
        <v>419</v>
      </c>
      <c r="C139" t="s">
        <v>420</v>
      </c>
      <c r="D139">
        <v>265.06400000000002</v>
      </c>
      <c r="E139" t="s">
        <v>421</v>
      </c>
      <c r="F139">
        <v>43301</v>
      </c>
      <c r="G139" t="s">
        <v>422</v>
      </c>
      <c r="H139">
        <v>180026281</v>
      </c>
      <c r="I139">
        <v>532775</v>
      </c>
      <c r="J139" t="s">
        <v>423</v>
      </c>
      <c r="K139" t="s">
        <v>424</v>
      </c>
      <c r="L139" t="s">
        <v>425</v>
      </c>
      <c r="M139">
        <v>7783</v>
      </c>
      <c r="N139" t="s">
        <v>426</v>
      </c>
      <c r="O139">
        <v>1511</v>
      </c>
      <c r="P139" t="s">
        <v>213</v>
      </c>
      <c r="Q139">
        <v>35499074</v>
      </c>
      <c r="R139">
        <v>214858689</v>
      </c>
      <c r="S139">
        <v>37.14593</v>
      </c>
      <c r="T139">
        <v>-93.428910000000002</v>
      </c>
      <c r="U139" t="s">
        <v>467</v>
      </c>
      <c r="V139">
        <v>2</v>
      </c>
      <c r="W139" t="s">
        <v>213</v>
      </c>
      <c r="X139" t="s">
        <v>477</v>
      </c>
      <c r="Y139" t="s">
        <v>427</v>
      </c>
      <c r="Z139" t="s">
        <v>499</v>
      </c>
    </row>
    <row r="140" spans="1:26" x14ac:dyDescent="0.25">
      <c r="A140">
        <v>105</v>
      </c>
      <c r="B140" t="s">
        <v>419</v>
      </c>
      <c r="C140" t="s">
        <v>435</v>
      </c>
      <c r="D140">
        <v>3.1160000000000001</v>
      </c>
      <c r="E140" t="s">
        <v>447</v>
      </c>
      <c r="F140">
        <v>43307</v>
      </c>
      <c r="G140" t="s">
        <v>422</v>
      </c>
      <c r="H140">
        <v>180026287</v>
      </c>
      <c r="I140">
        <v>0</v>
      </c>
      <c r="J140" t="s">
        <v>423</v>
      </c>
      <c r="K140" t="s">
        <v>439</v>
      </c>
      <c r="L140" t="s">
        <v>448</v>
      </c>
      <c r="M140">
        <v>2603</v>
      </c>
      <c r="N140" t="s">
        <v>453</v>
      </c>
      <c r="O140">
        <v>1450</v>
      </c>
      <c r="P140" t="s">
        <v>213</v>
      </c>
      <c r="Q140">
        <v>20361469</v>
      </c>
      <c r="R140">
        <v>190970062</v>
      </c>
      <c r="S140">
        <v>37.15625</v>
      </c>
      <c r="T140">
        <v>-93.424449999999993</v>
      </c>
      <c r="U140" t="s">
        <v>467</v>
      </c>
      <c r="V140">
        <v>1</v>
      </c>
      <c r="W140" t="s">
        <v>213</v>
      </c>
      <c r="X140" t="s">
        <v>477</v>
      </c>
      <c r="Y140" t="s">
        <v>436</v>
      </c>
      <c r="Z140" t="s">
        <v>508</v>
      </c>
    </row>
    <row r="141" spans="1:26" x14ac:dyDescent="0.25">
      <c r="A141">
        <v>106</v>
      </c>
      <c r="B141" t="s">
        <v>419</v>
      </c>
      <c r="C141" t="s">
        <v>509</v>
      </c>
      <c r="D141">
        <v>4.5999999999999999E-2</v>
      </c>
      <c r="E141" t="s">
        <v>421</v>
      </c>
      <c r="F141">
        <v>43297</v>
      </c>
      <c r="G141" t="s">
        <v>422</v>
      </c>
      <c r="H141">
        <v>180026288</v>
      </c>
      <c r="I141">
        <v>978770</v>
      </c>
      <c r="J141" t="s">
        <v>423</v>
      </c>
      <c r="K141" t="s">
        <v>424</v>
      </c>
      <c r="L141" t="s">
        <v>425</v>
      </c>
      <c r="M141">
        <v>934768</v>
      </c>
      <c r="N141" t="s">
        <v>433</v>
      </c>
      <c r="O141">
        <v>1919</v>
      </c>
      <c r="P141" t="s">
        <v>213</v>
      </c>
      <c r="Q141">
        <v>14433351</v>
      </c>
      <c r="R141">
        <v>184030357</v>
      </c>
      <c r="S141">
        <v>37.145339999999997</v>
      </c>
      <c r="T141">
        <v>-93.428659999999994</v>
      </c>
      <c r="U141" t="s">
        <v>467</v>
      </c>
      <c r="V141">
        <v>2</v>
      </c>
      <c r="W141" t="s">
        <v>213</v>
      </c>
      <c r="X141" t="s">
        <v>477</v>
      </c>
      <c r="Y141" t="s">
        <v>452</v>
      </c>
      <c r="Z141" t="s">
        <v>480</v>
      </c>
    </row>
    <row r="142" spans="1:26" x14ac:dyDescent="0.25">
      <c r="A142">
        <v>107</v>
      </c>
      <c r="B142" t="s">
        <v>419</v>
      </c>
      <c r="C142" t="s">
        <v>420</v>
      </c>
      <c r="D142">
        <v>265.06799999999998</v>
      </c>
      <c r="E142" t="s">
        <v>421</v>
      </c>
      <c r="F142">
        <v>43306</v>
      </c>
      <c r="G142" t="s">
        <v>442</v>
      </c>
      <c r="H142">
        <v>180026289</v>
      </c>
      <c r="I142">
        <v>532775</v>
      </c>
      <c r="J142" t="s">
        <v>423</v>
      </c>
      <c r="K142" t="s">
        <v>424</v>
      </c>
      <c r="L142" t="s">
        <v>425</v>
      </c>
      <c r="M142">
        <v>7783</v>
      </c>
      <c r="N142" t="s">
        <v>437</v>
      </c>
      <c r="O142">
        <v>704</v>
      </c>
      <c r="P142" t="s">
        <v>213</v>
      </c>
      <c r="Q142">
        <v>35499076</v>
      </c>
      <c r="R142">
        <v>214858694</v>
      </c>
      <c r="S142">
        <v>37.145890000000001</v>
      </c>
      <c r="T142">
        <v>-93.428989999999999</v>
      </c>
      <c r="U142" t="s">
        <v>467</v>
      </c>
      <c r="V142">
        <v>2</v>
      </c>
      <c r="W142" t="s">
        <v>213</v>
      </c>
      <c r="X142" t="s">
        <v>477</v>
      </c>
      <c r="Y142" t="s">
        <v>427</v>
      </c>
      <c r="Z142" t="s">
        <v>478</v>
      </c>
    </row>
    <row r="143" spans="1:26" x14ac:dyDescent="0.25">
      <c r="A143">
        <v>108</v>
      </c>
      <c r="B143" t="s">
        <v>419</v>
      </c>
      <c r="C143" t="s">
        <v>474</v>
      </c>
      <c r="D143">
        <v>0.27</v>
      </c>
      <c r="E143" t="s">
        <v>421</v>
      </c>
      <c r="F143">
        <v>43447</v>
      </c>
      <c r="G143" t="s">
        <v>422</v>
      </c>
      <c r="H143">
        <v>180046501</v>
      </c>
      <c r="I143">
        <v>653787</v>
      </c>
      <c r="J143" t="s">
        <v>438</v>
      </c>
      <c r="K143" t="s">
        <v>439</v>
      </c>
      <c r="L143" t="s">
        <v>440</v>
      </c>
      <c r="M143">
        <v>279232</v>
      </c>
      <c r="N143" t="s">
        <v>453</v>
      </c>
      <c r="O143">
        <v>655</v>
      </c>
      <c r="P143" t="s">
        <v>213</v>
      </c>
      <c r="Q143">
        <v>16245499</v>
      </c>
      <c r="R143">
        <v>186803637</v>
      </c>
      <c r="S143">
        <v>37.17698</v>
      </c>
      <c r="T143">
        <v>-93.424289999999999</v>
      </c>
      <c r="U143" t="s">
        <v>467</v>
      </c>
      <c r="V143">
        <v>2</v>
      </c>
      <c r="W143" t="s">
        <v>213</v>
      </c>
      <c r="X143" t="s">
        <v>485</v>
      </c>
      <c r="Y143" t="s">
        <v>475</v>
      </c>
      <c r="Z143" t="s">
        <v>478</v>
      </c>
    </row>
    <row r="144" spans="1:26" x14ac:dyDescent="0.25">
      <c r="A144">
        <v>109</v>
      </c>
      <c r="B144" t="s">
        <v>419</v>
      </c>
      <c r="C144" t="s">
        <v>451</v>
      </c>
      <c r="D144">
        <v>3.5999999999999997E-2</v>
      </c>
      <c r="E144" t="s">
        <v>421</v>
      </c>
      <c r="F144">
        <v>43381</v>
      </c>
      <c r="G144" t="s">
        <v>422</v>
      </c>
      <c r="H144">
        <v>180038197</v>
      </c>
      <c r="I144">
        <v>978774</v>
      </c>
      <c r="J144" t="s">
        <v>438</v>
      </c>
      <c r="K144" t="s">
        <v>424</v>
      </c>
      <c r="L144" t="s">
        <v>425</v>
      </c>
      <c r="M144">
        <v>934771</v>
      </c>
      <c r="N144" t="s">
        <v>433</v>
      </c>
      <c r="O144">
        <v>1848</v>
      </c>
      <c r="P144" t="s">
        <v>213</v>
      </c>
      <c r="Q144">
        <v>14662082</v>
      </c>
      <c r="R144">
        <v>184492452</v>
      </c>
      <c r="S144">
        <v>37.145760000000003</v>
      </c>
      <c r="T144">
        <v>-93.429509999999993</v>
      </c>
      <c r="U144" t="s">
        <v>467</v>
      </c>
      <c r="V144">
        <v>2</v>
      </c>
      <c r="W144" t="s">
        <v>213</v>
      </c>
      <c r="X144" t="s">
        <v>477</v>
      </c>
      <c r="Y144" t="s">
        <v>452</v>
      </c>
      <c r="Z144" t="s">
        <v>479</v>
      </c>
    </row>
    <row r="145" spans="1:26" x14ac:dyDescent="0.25">
      <c r="A145">
        <v>110</v>
      </c>
      <c r="B145" t="s">
        <v>419</v>
      </c>
      <c r="C145" t="s">
        <v>429</v>
      </c>
      <c r="D145">
        <v>75.594999999999999</v>
      </c>
      <c r="E145" t="s">
        <v>428</v>
      </c>
      <c r="F145">
        <v>43262</v>
      </c>
      <c r="G145" t="s">
        <v>442</v>
      </c>
      <c r="H145">
        <v>180022933</v>
      </c>
      <c r="I145">
        <v>532832</v>
      </c>
      <c r="J145" t="s">
        <v>423</v>
      </c>
      <c r="K145" t="s">
        <v>424</v>
      </c>
      <c r="L145" t="s">
        <v>425</v>
      </c>
      <c r="M145">
        <v>7782</v>
      </c>
      <c r="N145" t="s">
        <v>433</v>
      </c>
      <c r="O145">
        <v>1026</v>
      </c>
      <c r="P145" t="s">
        <v>213</v>
      </c>
      <c r="Q145">
        <v>26958213</v>
      </c>
      <c r="R145">
        <v>201929702</v>
      </c>
      <c r="S145">
        <v>37.145699999999998</v>
      </c>
      <c r="T145">
        <v>-93.428960000000004</v>
      </c>
      <c r="U145" t="s">
        <v>467</v>
      </c>
      <c r="V145">
        <v>2</v>
      </c>
      <c r="W145" t="s">
        <v>213</v>
      </c>
      <c r="X145" t="s">
        <v>477</v>
      </c>
      <c r="Y145" t="s">
        <v>427</v>
      </c>
      <c r="Z145" t="s">
        <v>480</v>
      </c>
    </row>
    <row r="146" spans="1:26" x14ac:dyDescent="0.25">
      <c r="A146">
        <v>111</v>
      </c>
      <c r="B146" t="s">
        <v>419</v>
      </c>
      <c r="C146" t="s">
        <v>451</v>
      </c>
      <c r="D146">
        <v>4.9000000000000002E-2</v>
      </c>
      <c r="E146" t="s">
        <v>421</v>
      </c>
      <c r="F146">
        <v>43266</v>
      </c>
      <c r="G146" t="s">
        <v>422</v>
      </c>
      <c r="H146">
        <v>180022938</v>
      </c>
      <c r="I146">
        <v>978774</v>
      </c>
      <c r="J146" t="s">
        <v>423</v>
      </c>
      <c r="K146" t="s">
        <v>424</v>
      </c>
      <c r="L146" t="s">
        <v>425</v>
      </c>
      <c r="M146">
        <v>934771</v>
      </c>
      <c r="N146" t="s">
        <v>426</v>
      </c>
      <c r="O146">
        <v>1458</v>
      </c>
      <c r="P146" t="s">
        <v>213</v>
      </c>
      <c r="Q146">
        <v>14374060</v>
      </c>
      <c r="R146">
        <v>183906795</v>
      </c>
      <c r="S146">
        <v>37.145580000000002</v>
      </c>
      <c r="T146">
        <v>-93.42962</v>
      </c>
      <c r="U146" t="s">
        <v>467</v>
      </c>
      <c r="V146">
        <v>2</v>
      </c>
      <c r="W146" t="s">
        <v>213</v>
      </c>
      <c r="X146" t="s">
        <v>477</v>
      </c>
      <c r="Y146" t="s">
        <v>452</v>
      </c>
      <c r="Z146" t="s">
        <v>479</v>
      </c>
    </row>
    <row r="147" spans="1:26" x14ac:dyDescent="0.25">
      <c r="A147">
        <v>112</v>
      </c>
      <c r="B147" t="s">
        <v>419</v>
      </c>
      <c r="C147" t="s">
        <v>435</v>
      </c>
      <c r="D147">
        <v>3.157</v>
      </c>
      <c r="E147" t="s">
        <v>447</v>
      </c>
      <c r="F147">
        <v>43261</v>
      </c>
      <c r="G147" t="s">
        <v>422</v>
      </c>
      <c r="H147">
        <v>180022939</v>
      </c>
      <c r="I147">
        <v>530100</v>
      </c>
      <c r="J147" t="s">
        <v>423</v>
      </c>
      <c r="K147" t="s">
        <v>424</v>
      </c>
      <c r="L147" t="s">
        <v>425</v>
      </c>
      <c r="M147">
        <v>2603</v>
      </c>
      <c r="N147" t="s">
        <v>449</v>
      </c>
      <c r="O147">
        <v>1905</v>
      </c>
      <c r="P147" t="s">
        <v>455</v>
      </c>
      <c r="Q147">
        <v>20360666</v>
      </c>
      <c r="R147">
        <v>190968428</v>
      </c>
      <c r="S147">
        <v>37.155659999999997</v>
      </c>
      <c r="T147">
        <v>-93.424469999999999</v>
      </c>
      <c r="U147" t="s">
        <v>467</v>
      </c>
      <c r="V147">
        <v>1</v>
      </c>
      <c r="W147" t="s">
        <v>461</v>
      </c>
      <c r="X147" t="s">
        <v>477</v>
      </c>
      <c r="Y147" t="s">
        <v>436</v>
      </c>
      <c r="Z147" t="s">
        <v>508</v>
      </c>
    </row>
    <row r="148" spans="1:26" x14ac:dyDescent="0.25">
      <c r="A148">
        <v>113</v>
      </c>
      <c r="B148" t="s">
        <v>419</v>
      </c>
      <c r="C148" t="s">
        <v>435</v>
      </c>
      <c r="D148">
        <v>2.3809999999999998</v>
      </c>
      <c r="E148" t="s">
        <v>434</v>
      </c>
      <c r="F148">
        <v>43277</v>
      </c>
      <c r="G148" t="s">
        <v>422</v>
      </c>
      <c r="H148">
        <v>180022940</v>
      </c>
      <c r="I148">
        <v>0</v>
      </c>
      <c r="J148" t="s">
        <v>444</v>
      </c>
      <c r="K148" t="s">
        <v>424</v>
      </c>
      <c r="L148" t="s">
        <v>440</v>
      </c>
      <c r="M148">
        <v>2603</v>
      </c>
      <c r="N148" t="s">
        <v>441</v>
      </c>
      <c r="O148">
        <v>2145</v>
      </c>
      <c r="P148" t="s">
        <v>213</v>
      </c>
      <c r="Q148">
        <v>14374064</v>
      </c>
      <c r="R148">
        <v>183906800</v>
      </c>
      <c r="S148">
        <v>37.166910000000001</v>
      </c>
      <c r="T148">
        <v>-93.424160000000001</v>
      </c>
      <c r="U148" t="s">
        <v>467</v>
      </c>
      <c r="V148">
        <v>1</v>
      </c>
      <c r="W148" t="s">
        <v>213</v>
      </c>
      <c r="X148" t="s">
        <v>477</v>
      </c>
      <c r="Y148" t="s">
        <v>436</v>
      </c>
      <c r="Z148" t="s">
        <v>496</v>
      </c>
    </row>
    <row r="149" spans="1:26" x14ac:dyDescent="0.25">
      <c r="A149">
        <v>114</v>
      </c>
      <c r="B149" t="s">
        <v>419</v>
      </c>
      <c r="C149" t="s">
        <v>510</v>
      </c>
      <c r="D149">
        <v>0.55400000000000005</v>
      </c>
      <c r="E149" t="s">
        <v>447</v>
      </c>
      <c r="F149">
        <v>43260</v>
      </c>
      <c r="G149" t="s">
        <v>422</v>
      </c>
      <c r="H149">
        <v>180022947</v>
      </c>
      <c r="I149">
        <v>519586</v>
      </c>
      <c r="J149" t="s">
        <v>423</v>
      </c>
      <c r="K149" t="s">
        <v>424</v>
      </c>
      <c r="L149" t="s">
        <v>425</v>
      </c>
      <c r="M149">
        <v>68774</v>
      </c>
      <c r="N149" t="s">
        <v>432</v>
      </c>
      <c r="O149">
        <v>1700</v>
      </c>
      <c r="P149" t="s">
        <v>434</v>
      </c>
      <c r="Q149">
        <v>14374078</v>
      </c>
      <c r="R149">
        <v>183906816</v>
      </c>
      <c r="S149">
        <v>37.198529999999998</v>
      </c>
      <c r="T149">
        <v>-93.422780000000003</v>
      </c>
      <c r="U149" t="s">
        <v>511</v>
      </c>
      <c r="V149">
        <v>1</v>
      </c>
      <c r="W149" t="s">
        <v>512</v>
      </c>
      <c r="X149" t="s">
        <v>477</v>
      </c>
      <c r="Y149" t="s">
        <v>513</v>
      </c>
      <c r="Z149" t="s">
        <v>478</v>
      </c>
    </row>
    <row r="150" spans="1:26" x14ac:dyDescent="0.25">
      <c r="A150">
        <v>115</v>
      </c>
      <c r="B150" t="s">
        <v>419</v>
      </c>
      <c r="C150" t="s">
        <v>435</v>
      </c>
      <c r="D150">
        <v>3.8029999999999999</v>
      </c>
      <c r="E150" t="s">
        <v>447</v>
      </c>
      <c r="F150">
        <v>43335</v>
      </c>
      <c r="G150" t="s">
        <v>422</v>
      </c>
      <c r="H150">
        <v>180029914</v>
      </c>
      <c r="I150">
        <v>532386</v>
      </c>
      <c r="J150" t="s">
        <v>423</v>
      </c>
      <c r="K150" t="s">
        <v>439</v>
      </c>
      <c r="L150" t="s">
        <v>448</v>
      </c>
      <c r="M150">
        <v>2603</v>
      </c>
      <c r="N150" t="s">
        <v>453</v>
      </c>
      <c r="O150">
        <v>1559</v>
      </c>
      <c r="P150" t="s">
        <v>434</v>
      </c>
      <c r="Q150">
        <v>14519522</v>
      </c>
      <c r="R150">
        <v>184203484</v>
      </c>
      <c r="S150">
        <v>37.147419999999997</v>
      </c>
      <c r="T150">
        <v>-93.429910000000007</v>
      </c>
      <c r="U150" t="s">
        <v>467</v>
      </c>
      <c r="V150">
        <v>1</v>
      </c>
      <c r="W150" t="s">
        <v>461</v>
      </c>
      <c r="X150" t="s">
        <v>477</v>
      </c>
      <c r="Y150" t="s">
        <v>436</v>
      </c>
      <c r="Z150" t="s">
        <v>514</v>
      </c>
    </row>
    <row r="151" spans="1:26" x14ac:dyDescent="0.25">
      <c r="A151">
        <v>116</v>
      </c>
      <c r="B151" t="s">
        <v>419</v>
      </c>
      <c r="C151" t="s">
        <v>451</v>
      </c>
      <c r="D151">
        <v>4.5999999999999999E-2</v>
      </c>
      <c r="E151" t="s">
        <v>421</v>
      </c>
      <c r="F151">
        <v>43346</v>
      </c>
      <c r="G151" t="s">
        <v>442</v>
      </c>
      <c r="H151">
        <v>180035228</v>
      </c>
      <c r="I151">
        <v>978774</v>
      </c>
      <c r="J151" t="s">
        <v>423</v>
      </c>
      <c r="K151" t="s">
        <v>424</v>
      </c>
      <c r="L151" t="s">
        <v>425</v>
      </c>
      <c r="M151">
        <v>934771</v>
      </c>
      <c r="N151" t="s">
        <v>433</v>
      </c>
      <c r="O151">
        <v>1639</v>
      </c>
      <c r="P151" t="s">
        <v>213</v>
      </c>
      <c r="Q151">
        <v>14598729</v>
      </c>
      <c r="R151">
        <v>184350708</v>
      </c>
      <c r="S151">
        <v>37.145620000000001</v>
      </c>
      <c r="T151">
        <v>-93.429590000000005</v>
      </c>
      <c r="U151" t="s">
        <v>467</v>
      </c>
      <c r="V151">
        <v>2</v>
      </c>
      <c r="W151" t="s">
        <v>213</v>
      </c>
      <c r="X151" t="s">
        <v>477</v>
      </c>
      <c r="Y151" t="s">
        <v>452</v>
      </c>
      <c r="Z151" t="s">
        <v>479</v>
      </c>
    </row>
    <row r="152" spans="1:26" x14ac:dyDescent="0.25">
      <c r="A152">
        <v>117</v>
      </c>
      <c r="B152" t="s">
        <v>419</v>
      </c>
      <c r="C152" t="s">
        <v>420</v>
      </c>
      <c r="D152">
        <v>265.07299999999998</v>
      </c>
      <c r="E152" t="s">
        <v>430</v>
      </c>
      <c r="F152">
        <v>43345</v>
      </c>
      <c r="G152" t="s">
        <v>422</v>
      </c>
      <c r="H152">
        <v>180035235</v>
      </c>
      <c r="I152">
        <v>532775</v>
      </c>
      <c r="J152" t="s">
        <v>423</v>
      </c>
      <c r="K152" t="s">
        <v>424</v>
      </c>
      <c r="L152" t="s">
        <v>425</v>
      </c>
      <c r="M152">
        <v>7783</v>
      </c>
      <c r="N152" t="s">
        <v>449</v>
      </c>
      <c r="O152">
        <v>911</v>
      </c>
      <c r="P152" t="s">
        <v>213</v>
      </c>
      <c r="Q152">
        <v>35499513</v>
      </c>
      <c r="R152">
        <v>214859917</v>
      </c>
      <c r="S152">
        <v>37.145859999999999</v>
      </c>
      <c r="T152">
        <v>-93.429060000000007</v>
      </c>
      <c r="U152" t="s">
        <v>467</v>
      </c>
      <c r="V152">
        <v>2</v>
      </c>
      <c r="W152" t="s">
        <v>213</v>
      </c>
      <c r="X152" t="s">
        <v>477</v>
      </c>
      <c r="Y152" t="s">
        <v>427</v>
      </c>
      <c r="Z152" t="s">
        <v>499</v>
      </c>
    </row>
    <row r="153" spans="1:26" x14ac:dyDescent="0.25">
      <c r="A153">
        <v>118</v>
      </c>
      <c r="B153" t="s">
        <v>419</v>
      </c>
      <c r="C153" t="s">
        <v>435</v>
      </c>
      <c r="D153">
        <v>2.6179999999999999</v>
      </c>
      <c r="E153" t="s">
        <v>447</v>
      </c>
      <c r="F153">
        <v>43365</v>
      </c>
      <c r="G153" t="s">
        <v>442</v>
      </c>
      <c r="H153">
        <v>180035238</v>
      </c>
      <c r="I153">
        <v>0</v>
      </c>
      <c r="J153" t="s">
        <v>423</v>
      </c>
      <c r="K153" t="s">
        <v>424</v>
      </c>
      <c r="L153" t="s">
        <v>440</v>
      </c>
      <c r="M153">
        <v>2603</v>
      </c>
      <c r="N153" t="s">
        <v>432</v>
      </c>
      <c r="O153">
        <v>1326</v>
      </c>
      <c r="P153" t="s">
        <v>455</v>
      </c>
      <c r="Q153">
        <v>14598749</v>
      </c>
      <c r="R153">
        <v>184350733</v>
      </c>
      <c r="S153">
        <v>37.163469999999997</v>
      </c>
      <c r="T153">
        <v>-93.424250000000001</v>
      </c>
      <c r="U153" t="s">
        <v>467</v>
      </c>
      <c r="V153">
        <v>1</v>
      </c>
      <c r="W153" t="s">
        <v>515</v>
      </c>
      <c r="X153" t="s">
        <v>477</v>
      </c>
      <c r="Y153" t="s">
        <v>436</v>
      </c>
      <c r="Z153" t="s">
        <v>503</v>
      </c>
    </row>
    <row r="154" spans="1:26" x14ac:dyDescent="0.25">
      <c r="A154">
        <v>119</v>
      </c>
      <c r="B154" t="s">
        <v>419</v>
      </c>
      <c r="C154" t="s">
        <v>435</v>
      </c>
      <c r="D154">
        <v>2.54</v>
      </c>
      <c r="E154" t="s">
        <v>421</v>
      </c>
      <c r="F154">
        <v>43370</v>
      </c>
      <c r="G154" t="s">
        <v>422</v>
      </c>
      <c r="H154">
        <v>180035241</v>
      </c>
      <c r="I154">
        <v>527743</v>
      </c>
      <c r="J154" t="s">
        <v>423</v>
      </c>
      <c r="K154" t="s">
        <v>424</v>
      </c>
      <c r="L154" t="s">
        <v>425</v>
      </c>
      <c r="M154">
        <v>2603</v>
      </c>
      <c r="N154" t="s">
        <v>453</v>
      </c>
      <c r="O154">
        <v>1631</v>
      </c>
      <c r="P154" t="s">
        <v>213</v>
      </c>
      <c r="Q154">
        <v>14598755</v>
      </c>
      <c r="R154">
        <v>184350741</v>
      </c>
      <c r="S154">
        <v>37.1646</v>
      </c>
      <c r="T154">
        <v>-93.424220000000005</v>
      </c>
      <c r="U154" t="s">
        <v>467</v>
      </c>
      <c r="V154">
        <v>2</v>
      </c>
      <c r="W154" t="s">
        <v>213</v>
      </c>
      <c r="X154" t="s">
        <v>477</v>
      </c>
      <c r="Y154" t="s">
        <v>436</v>
      </c>
      <c r="Z154" t="s">
        <v>503</v>
      </c>
    </row>
    <row r="155" spans="1:26" x14ac:dyDescent="0.25">
      <c r="A155">
        <v>120</v>
      </c>
      <c r="B155" t="s">
        <v>419</v>
      </c>
      <c r="C155" t="s">
        <v>429</v>
      </c>
      <c r="D155">
        <v>75.594999999999999</v>
      </c>
      <c r="E155" t="s">
        <v>428</v>
      </c>
      <c r="F155">
        <v>43373</v>
      </c>
      <c r="G155" t="s">
        <v>422</v>
      </c>
      <c r="H155">
        <v>180035242</v>
      </c>
      <c r="I155">
        <v>532832</v>
      </c>
      <c r="J155" t="s">
        <v>438</v>
      </c>
      <c r="K155" t="s">
        <v>424</v>
      </c>
      <c r="L155" t="s">
        <v>425</v>
      </c>
      <c r="M155">
        <v>7782</v>
      </c>
      <c r="N155" t="s">
        <v>449</v>
      </c>
      <c r="O155">
        <v>2112</v>
      </c>
      <c r="P155" t="s">
        <v>213</v>
      </c>
      <c r="Q155">
        <v>26958850</v>
      </c>
      <c r="R155">
        <v>201931682</v>
      </c>
      <c r="S155">
        <v>37.145699999999998</v>
      </c>
      <c r="T155">
        <v>-93.428960000000004</v>
      </c>
      <c r="U155" t="s">
        <v>467</v>
      </c>
      <c r="V155">
        <v>2</v>
      </c>
      <c r="W155" t="s">
        <v>213</v>
      </c>
      <c r="X155" t="s">
        <v>477</v>
      </c>
      <c r="Y155" t="s">
        <v>427</v>
      </c>
      <c r="Z155" t="s">
        <v>478</v>
      </c>
    </row>
    <row r="156" spans="1:26" x14ac:dyDescent="0.25">
      <c r="A156">
        <v>121</v>
      </c>
      <c r="B156" t="s">
        <v>419</v>
      </c>
      <c r="C156" t="s">
        <v>435</v>
      </c>
      <c r="D156">
        <v>1.806</v>
      </c>
      <c r="E156" t="s">
        <v>464</v>
      </c>
      <c r="F156">
        <v>43371</v>
      </c>
      <c r="G156" t="s">
        <v>422</v>
      </c>
      <c r="H156">
        <v>180035248</v>
      </c>
      <c r="I156">
        <v>653786</v>
      </c>
      <c r="J156" t="s">
        <v>423</v>
      </c>
      <c r="K156" t="s">
        <v>424</v>
      </c>
      <c r="L156" t="s">
        <v>425</v>
      </c>
      <c r="M156">
        <v>2603</v>
      </c>
      <c r="N156" t="s">
        <v>426</v>
      </c>
      <c r="O156">
        <v>1247</v>
      </c>
      <c r="P156" t="s">
        <v>455</v>
      </c>
      <c r="Q156">
        <v>14598769</v>
      </c>
      <c r="R156">
        <v>184350761</v>
      </c>
      <c r="S156">
        <v>37.175040000000003</v>
      </c>
      <c r="T156">
        <v>-93.425020000000004</v>
      </c>
      <c r="U156" t="s">
        <v>467</v>
      </c>
      <c r="V156">
        <v>2</v>
      </c>
      <c r="W156" t="s">
        <v>506</v>
      </c>
      <c r="X156" t="s">
        <v>485</v>
      </c>
      <c r="Y156" t="s">
        <v>436</v>
      </c>
      <c r="Z156" t="s">
        <v>504</v>
      </c>
    </row>
    <row r="157" spans="1:26" x14ac:dyDescent="0.25">
      <c r="A157">
        <v>122</v>
      </c>
      <c r="B157" t="s">
        <v>419</v>
      </c>
      <c r="C157" t="s">
        <v>435</v>
      </c>
      <c r="D157">
        <v>1.806</v>
      </c>
      <c r="E157" t="s">
        <v>430</v>
      </c>
      <c r="F157">
        <v>43417</v>
      </c>
      <c r="G157" t="s">
        <v>422</v>
      </c>
      <c r="H157">
        <v>180042226</v>
      </c>
      <c r="I157">
        <v>653786</v>
      </c>
      <c r="J157" t="s">
        <v>444</v>
      </c>
      <c r="K157" t="s">
        <v>424</v>
      </c>
      <c r="L157" t="s">
        <v>440</v>
      </c>
      <c r="M157">
        <v>2603</v>
      </c>
      <c r="N157" t="s">
        <v>441</v>
      </c>
      <c r="O157">
        <v>1800</v>
      </c>
      <c r="P157" t="s">
        <v>213</v>
      </c>
      <c r="Q157">
        <v>20365583</v>
      </c>
      <c r="R157">
        <v>190978502</v>
      </c>
      <c r="S157">
        <v>37.175040000000003</v>
      </c>
      <c r="T157">
        <v>-93.425020000000004</v>
      </c>
      <c r="U157" t="s">
        <v>467</v>
      </c>
      <c r="V157">
        <v>2</v>
      </c>
      <c r="W157" t="s">
        <v>213</v>
      </c>
      <c r="X157" t="s">
        <v>485</v>
      </c>
      <c r="Y157" t="s">
        <v>436</v>
      </c>
      <c r="Z157" t="s">
        <v>504</v>
      </c>
    </row>
    <row r="158" spans="1:26" x14ac:dyDescent="0.25">
      <c r="A158">
        <v>123</v>
      </c>
      <c r="B158" t="s">
        <v>419</v>
      </c>
      <c r="C158" t="s">
        <v>435</v>
      </c>
      <c r="D158">
        <v>1.806</v>
      </c>
      <c r="E158" t="s">
        <v>459</v>
      </c>
      <c r="F158">
        <v>43406</v>
      </c>
      <c r="G158" t="s">
        <v>422</v>
      </c>
      <c r="H158">
        <v>180042225</v>
      </c>
      <c r="I158">
        <v>653786</v>
      </c>
      <c r="J158" t="s">
        <v>423</v>
      </c>
      <c r="K158" t="s">
        <v>439</v>
      </c>
      <c r="L158" t="s">
        <v>440</v>
      </c>
      <c r="M158">
        <v>2603</v>
      </c>
      <c r="N158" t="s">
        <v>426</v>
      </c>
      <c r="O158">
        <v>736</v>
      </c>
      <c r="P158" t="s">
        <v>213</v>
      </c>
      <c r="Q158">
        <v>20365582</v>
      </c>
      <c r="R158">
        <v>190978500</v>
      </c>
      <c r="S158">
        <v>37.175040000000003</v>
      </c>
      <c r="T158">
        <v>-93.425020000000004</v>
      </c>
      <c r="U158" t="s">
        <v>467</v>
      </c>
      <c r="V158">
        <v>2</v>
      </c>
      <c r="W158" t="s">
        <v>213</v>
      </c>
      <c r="X158" t="s">
        <v>485</v>
      </c>
      <c r="Y158" t="s">
        <v>436</v>
      </c>
      <c r="Z158" t="s">
        <v>504</v>
      </c>
    </row>
    <row r="159" spans="1:26" x14ac:dyDescent="0.25">
      <c r="A159">
        <v>124</v>
      </c>
      <c r="B159" t="s">
        <v>419</v>
      </c>
      <c r="C159" t="s">
        <v>435</v>
      </c>
      <c r="D159">
        <v>0.91500000000000004</v>
      </c>
      <c r="E159" t="s">
        <v>447</v>
      </c>
      <c r="F159">
        <v>43417</v>
      </c>
      <c r="G159" t="s">
        <v>442</v>
      </c>
      <c r="H159">
        <v>180042227</v>
      </c>
      <c r="I159">
        <v>1067307</v>
      </c>
      <c r="J159" t="s">
        <v>423</v>
      </c>
      <c r="K159" t="s">
        <v>424</v>
      </c>
      <c r="L159" t="s">
        <v>425</v>
      </c>
      <c r="M159">
        <v>2603</v>
      </c>
      <c r="N159" t="s">
        <v>441</v>
      </c>
      <c r="O159">
        <v>1247</v>
      </c>
      <c r="P159" t="s">
        <v>434</v>
      </c>
      <c r="Q159">
        <v>16147804</v>
      </c>
      <c r="R159">
        <v>186580268</v>
      </c>
      <c r="S159">
        <v>37.187840000000001</v>
      </c>
      <c r="T159">
        <v>-93.42353</v>
      </c>
      <c r="U159" t="s">
        <v>467</v>
      </c>
      <c r="V159">
        <v>1</v>
      </c>
      <c r="W159" t="s">
        <v>482</v>
      </c>
      <c r="X159" t="s">
        <v>477</v>
      </c>
      <c r="Y159" t="s">
        <v>436</v>
      </c>
      <c r="Z159" t="s">
        <v>495</v>
      </c>
    </row>
    <row r="160" spans="1:26" x14ac:dyDescent="0.25">
      <c r="A160">
        <v>125</v>
      </c>
      <c r="B160" t="s">
        <v>419</v>
      </c>
      <c r="C160" t="s">
        <v>435</v>
      </c>
      <c r="D160">
        <v>1.806</v>
      </c>
      <c r="E160" t="s">
        <v>459</v>
      </c>
      <c r="F160">
        <v>43323</v>
      </c>
      <c r="G160" t="s">
        <v>422</v>
      </c>
      <c r="H160">
        <v>180030307</v>
      </c>
      <c r="I160">
        <v>653786</v>
      </c>
      <c r="J160" t="s">
        <v>423</v>
      </c>
      <c r="K160" t="s">
        <v>424</v>
      </c>
      <c r="L160" t="s">
        <v>425</v>
      </c>
      <c r="M160">
        <v>2603</v>
      </c>
      <c r="N160" t="s">
        <v>432</v>
      </c>
      <c r="O160">
        <v>1631</v>
      </c>
      <c r="P160" t="s">
        <v>213</v>
      </c>
      <c r="Q160">
        <v>14527192</v>
      </c>
      <c r="R160">
        <v>184220605</v>
      </c>
      <c r="S160">
        <v>37.175040000000003</v>
      </c>
      <c r="T160">
        <v>-93.425020000000004</v>
      </c>
      <c r="U160" t="s">
        <v>467</v>
      </c>
      <c r="V160">
        <v>2</v>
      </c>
      <c r="W160" t="s">
        <v>213</v>
      </c>
      <c r="X160" t="s">
        <v>485</v>
      </c>
      <c r="Y160" t="s">
        <v>436</v>
      </c>
      <c r="Z160" t="s">
        <v>516</v>
      </c>
    </row>
    <row r="161" spans="1:26" x14ac:dyDescent="0.25">
      <c r="A161">
        <v>126</v>
      </c>
      <c r="B161" t="s">
        <v>419</v>
      </c>
      <c r="C161" t="s">
        <v>435</v>
      </c>
      <c r="D161">
        <v>1.8049999999999999</v>
      </c>
      <c r="E161" t="s">
        <v>447</v>
      </c>
      <c r="F161">
        <v>43416</v>
      </c>
      <c r="G161" t="s">
        <v>422</v>
      </c>
      <c r="H161">
        <v>180042245</v>
      </c>
      <c r="I161">
        <v>653786</v>
      </c>
      <c r="J161" t="s">
        <v>438</v>
      </c>
      <c r="K161" t="s">
        <v>424</v>
      </c>
      <c r="L161" t="s">
        <v>497</v>
      </c>
      <c r="M161">
        <v>2603</v>
      </c>
      <c r="N161" t="s">
        <v>433</v>
      </c>
      <c r="O161">
        <v>630</v>
      </c>
      <c r="P161" t="s">
        <v>455</v>
      </c>
      <c r="Q161">
        <v>16151030</v>
      </c>
      <c r="R161">
        <v>186588274</v>
      </c>
      <c r="S161">
        <v>37.175049999999999</v>
      </c>
      <c r="T161">
        <v>-93.42501</v>
      </c>
      <c r="U161" t="s">
        <v>467</v>
      </c>
      <c r="V161">
        <v>1</v>
      </c>
      <c r="W161" t="s">
        <v>506</v>
      </c>
      <c r="X161" t="s">
        <v>485</v>
      </c>
      <c r="Y161" t="s">
        <v>436</v>
      </c>
      <c r="Z161" t="s">
        <v>516</v>
      </c>
    </row>
    <row r="162" spans="1:26" x14ac:dyDescent="0.25">
      <c r="A162">
        <v>127</v>
      </c>
      <c r="B162" t="s">
        <v>419</v>
      </c>
      <c r="C162" t="s">
        <v>451</v>
      </c>
      <c r="D162">
        <v>0.03</v>
      </c>
      <c r="E162" t="s">
        <v>421</v>
      </c>
      <c r="F162">
        <v>43412</v>
      </c>
      <c r="G162" t="s">
        <v>422</v>
      </c>
      <c r="H162">
        <v>180042228</v>
      </c>
      <c r="I162">
        <v>978774</v>
      </c>
      <c r="J162" t="s">
        <v>423</v>
      </c>
      <c r="K162" t="s">
        <v>439</v>
      </c>
      <c r="L162" t="s">
        <v>440</v>
      </c>
      <c r="M162">
        <v>934771</v>
      </c>
      <c r="N162" t="s">
        <v>453</v>
      </c>
      <c r="O162">
        <v>1506</v>
      </c>
      <c r="P162" t="s">
        <v>213</v>
      </c>
      <c r="Q162">
        <v>16164960</v>
      </c>
      <c r="R162">
        <v>186619733</v>
      </c>
      <c r="S162">
        <v>37.145829999999997</v>
      </c>
      <c r="T162">
        <v>-93.429469999999995</v>
      </c>
      <c r="U162" t="s">
        <v>467</v>
      </c>
      <c r="V162">
        <v>2</v>
      </c>
      <c r="W162" t="s">
        <v>213</v>
      </c>
      <c r="X162" t="s">
        <v>477</v>
      </c>
      <c r="Y162" t="s">
        <v>452</v>
      </c>
      <c r="Z162" t="s">
        <v>479</v>
      </c>
    </row>
    <row r="163" spans="1:26" x14ac:dyDescent="0.25">
      <c r="A163">
        <v>128</v>
      </c>
      <c r="B163" t="s">
        <v>419</v>
      </c>
      <c r="C163" t="s">
        <v>435</v>
      </c>
      <c r="D163">
        <v>1.149</v>
      </c>
      <c r="E163" t="s">
        <v>421</v>
      </c>
      <c r="F163">
        <v>43332</v>
      </c>
      <c r="G163" t="s">
        <v>422</v>
      </c>
      <c r="H163">
        <v>180029913</v>
      </c>
      <c r="I163">
        <v>0</v>
      </c>
      <c r="J163" t="s">
        <v>423</v>
      </c>
      <c r="K163" t="s">
        <v>439</v>
      </c>
      <c r="L163" t="s">
        <v>448</v>
      </c>
      <c r="M163">
        <v>2603</v>
      </c>
      <c r="N163" t="s">
        <v>433</v>
      </c>
      <c r="O163">
        <v>1710</v>
      </c>
      <c r="P163" t="s">
        <v>213</v>
      </c>
      <c r="Q163">
        <v>20362387</v>
      </c>
      <c r="R163">
        <v>190971938</v>
      </c>
      <c r="S163">
        <v>37.184449999999998</v>
      </c>
      <c r="T163">
        <v>-93.423649999999995</v>
      </c>
      <c r="U163" t="s">
        <v>467</v>
      </c>
      <c r="V163">
        <v>2</v>
      </c>
      <c r="W163" t="s">
        <v>213</v>
      </c>
      <c r="X163" t="s">
        <v>477</v>
      </c>
      <c r="Y163" t="s">
        <v>436</v>
      </c>
      <c r="Z163" t="s">
        <v>483</v>
      </c>
    </row>
    <row r="164" spans="1:26" x14ac:dyDescent="0.25">
      <c r="A164">
        <v>129</v>
      </c>
      <c r="B164" t="s">
        <v>419</v>
      </c>
      <c r="C164" t="s">
        <v>517</v>
      </c>
      <c r="D164">
        <v>0.26300000000000001</v>
      </c>
      <c r="E164" t="s">
        <v>421</v>
      </c>
      <c r="F164">
        <v>43332</v>
      </c>
      <c r="G164" t="s">
        <v>422</v>
      </c>
      <c r="H164">
        <v>180029915</v>
      </c>
      <c r="I164">
        <v>653786</v>
      </c>
      <c r="J164" t="s">
        <v>423</v>
      </c>
      <c r="K164" t="s">
        <v>424</v>
      </c>
      <c r="L164" t="s">
        <v>425</v>
      </c>
      <c r="M164">
        <v>279234</v>
      </c>
      <c r="N164" t="s">
        <v>433</v>
      </c>
      <c r="O164">
        <v>710</v>
      </c>
      <c r="P164" t="s">
        <v>213</v>
      </c>
      <c r="Q164">
        <v>14505570</v>
      </c>
      <c r="R164">
        <v>184178352</v>
      </c>
      <c r="S164">
        <v>37.175040000000003</v>
      </c>
      <c r="T164">
        <v>-93.425020000000004</v>
      </c>
      <c r="U164" t="s">
        <v>467</v>
      </c>
      <c r="V164">
        <v>2</v>
      </c>
      <c r="W164" t="s">
        <v>213</v>
      </c>
      <c r="X164" t="s">
        <v>485</v>
      </c>
      <c r="Y164" t="s">
        <v>475</v>
      </c>
      <c r="Z164" t="s">
        <v>478</v>
      </c>
    </row>
    <row r="165" spans="1:26" x14ac:dyDescent="0.25">
      <c r="A165">
        <v>130</v>
      </c>
      <c r="B165" t="s">
        <v>419</v>
      </c>
      <c r="C165" t="s">
        <v>429</v>
      </c>
      <c r="D165">
        <v>75.566999999999993</v>
      </c>
      <c r="E165" t="s">
        <v>434</v>
      </c>
      <c r="F165">
        <v>43326</v>
      </c>
      <c r="G165" t="s">
        <v>422</v>
      </c>
      <c r="H165">
        <v>180029921</v>
      </c>
      <c r="I165">
        <v>978769</v>
      </c>
      <c r="J165" t="s">
        <v>423</v>
      </c>
      <c r="K165" t="s">
        <v>424</v>
      </c>
      <c r="L165" t="s">
        <v>440</v>
      </c>
      <c r="M165">
        <v>7782</v>
      </c>
      <c r="N165" t="s">
        <v>441</v>
      </c>
      <c r="O165">
        <v>849</v>
      </c>
      <c r="P165" t="s">
        <v>213</v>
      </c>
      <c r="Q165">
        <v>26958555</v>
      </c>
      <c r="R165">
        <v>201930782</v>
      </c>
      <c r="S165">
        <v>37.145470000000003</v>
      </c>
      <c r="T165">
        <v>-93.429389999999998</v>
      </c>
      <c r="U165" t="s">
        <v>467</v>
      </c>
      <c r="V165">
        <v>1</v>
      </c>
      <c r="W165" t="s">
        <v>213</v>
      </c>
      <c r="X165" t="s">
        <v>477</v>
      </c>
      <c r="Y165" t="s">
        <v>427</v>
      </c>
      <c r="Z165" t="s">
        <v>480</v>
      </c>
    </row>
    <row r="166" spans="1:26" x14ac:dyDescent="0.25">
      <c r="A166">
        <v>131</v>
      </c>
      <c r="B166" t="s">
        <v>419</v>
      </c>
      <c r="C166" t="s">
        <v>429</v>
      </c>
      <c r="D166">
        <v>75.63</v>
      </c>
      <c r="E166" t="s">
        <v>421</v>
      </c>
      <c r="F166">
        <v>43424</v>
      </c>
      <c r="G166" t="s">
        <v>422</v>
      </c>
      <c r="H166">
        <v>180042221</v>
      </c>
      <c r="I166">
        <v>978771</v>
      </c>
      <c r="J166" t="s">
        <v>423</v>
      </c>
      <c r="K166" t="s">
        <v>424</v>
      </c>
      <c r="L166" t="s">
        <v>425</v>
      </c>
      <c r="M166">
        <v>7782</v>
      </c>
      <c r="N166" t="s">
        <v>441</v>
      </c>
      <c r="O166">
        <v>1115</v>
      </c>
      <c r="P166" t="s">
        <v>213</v>
      </c>
      <c r="Q166">
        <v>26959260</v>
      </c>
      <c r="R166">
        <v>201932964</v>
      </c>
      <c r="S166">
        <v>37.145969999999998</v>
      </c>
      <c r="T166">
        <v>-93.428430000000006</v>
      </c>
      <c r="U166" t="s">
        <v>467</v>
      </c>
      <c r="V166">
        <v>2</v>
      </c>
      <c r="W166" t="s">
        <v>213</v>
      </c>
      <c r="X166" t="s">
        <v>477</v>
      </c>
      <c r="Y166" t="s">
        <v>427</v>
      </c>
      <c r="Z166" t="s">
        <v>518</v>
      </c>
    </row>
    <row r="167" spans="1:26" x14ac:dyDescent="0.25">
      <c r="A167">
        <v>132</v>
      </c>
      <c r="B167" t="s">
        <v>419</v>
      </c>
      <c r="C167" t="s">
        <v>473</v>
      </c>
      <c r="D167">
        <v>4.2000000000000003E-2</v>
      </c>
      <c r="E167" t="s">
        <v>421</v>
      </c>
      <c r="F167">
        <v>43417</v>
      </c>
      <c r="G167" t="s">
        <v>422</v>
      </c>
      <c r="H167">
        <v>180042222</v>
      </c>
      <c r="I167">
        <v>978771</v>
      </c>
      <c r="J167" t="s">
        <v>423</v>
      </c>
      <c r="K167" t="s">
        <v>424</v>
      </c>
      <c r="L167" t="s">
        <v>425</v>
      </c>
      <c r="M167">
        <v>934769</v>
      </c>
      <c r="N167" t="s">
        <v>441</v>
      </c>
      <c r="O167">
        <v>845</v>
      </c>
      <c r="P167" t="s">
        <v>213</v>
      </c>
      <c r="Q167">
        <v>16195606</v>
      </c>
      <c r="R167">
        <v>186694646</v>
      </c>
      <c r="S167">
        <v>37.145910000000001</v>
      </c>
      <c r="T167">
        <v>-93.428479999999993</v>
      </c>
      <c r="U167" t="s">
        <v>467</v>
      </c>
      <c r="V167">
        <v>2</v>
      </c>
      <c r="W167" t="s">
        <v>213</v>
      </c>
      <c r="X167" t="s">
        <v>477</v>
      </c>
      <c r="Y167" t="s">
        <v>452</v>
      </c>
      <c r="Z167" t="s">
        <v>479</v>
      </c>
    </row>
    <row r="168" spans="1:26" x14ac:dyDescent="0.25">
      <c r="A168">
        <v>133</v>
      </c>
      <c r="B168" t="s">
        <v>419</v>
      </c>
      <c r="C168" t="s">
        <v>435</v>
      </c>
      <c r="D168">
        <v>2.7570000000000001</v>
      </c>
      <c r="E168" t="s">
        <v>447</v>
      </c>
      <c r="F168">
        <v>43546</v>
      </c>
      <c r="G168" t="s">
        <v>442</v>
      </c>
      <c r="H168">
        <v>190020495</v>
      </c>
      <c r="I168">
        <v>528495</v>
      </c>
      <c r="J168" t="s">
        <v>423</v>
      </c>
      <c r="K168" t="s">
        <v>424</v>
      </c>
      <c r="L168" t="s">
        <v>425</v>
      </c>
      <c r="M168">
        <v>2603</v>
      </c>
      <c r="N168" t="s">
        <v>426</v>
      </c>
      <c r="O168">
        <v>1023</v>
      </c>
      <c r="P168" t="s">
        <v>434</v>
      </c>
      <c r="Q168">
        <v>20458328</v>
      </c>
      <c r="R168">
        <v>191157050</v>
      </c>
      <c r="S168">
        <v>37.161439999999999</v>
      </c>
      <c r="T168">
        <v>-93.424289999999999</v>
      </c>
      <c r="U168" t="s">
        <v>467</v>
      </c>
      <c r="V168">
        <v>1</v>
      </c>
      <c r="W168" t="s">
        <v>482</v>
      </c>
      <c r="X168" t="s">
        <v>477</v>
      </c>
      <c r="Y168" t="s">
        <v>436</v>
      </c>
      <c r="Z168" t="s">
        <v>507</v>
      </c>
    </row>
    <row r="169" spans="1:26" x14ac:dyDescent="0.25">
      <c r="A169">
        <v>134</v>
      </c>
      <c r="B169" t="s">
        <v>419</v>
      </c>
      <c r="C169" t="s">
        <v>519</v>
      </c>
      <c r="D169">
        <v>0</v>
      </c>
      <c r="E169" t="s">
        <v>428</v>
      </c>
      <c r="F169">
        <v>43719</v>
      </c>
      <c r="G169" t="s">
        <v>520</v>
      </c>
      <c r="H169">
        <v>2190060261</v>
      </c>
      <c r="I169">
        <v>653787</v>
      </c>
      <c r="J169" t="s">
        <v>423</v>
      </c>
      <c r="K169" t="s">
        <v>424</v>
      </c>
      <c r="L169" t="s">
        <v>425</v>
      </c>
      <c r="M169">
        <v>279233</v>
      </c>
      <c r="N169" t="s">
        <v>437</v>
      </c>
      <c r="O169">
        <v>1311</v>
      </c>
      <c r="P169" t="s">
        <v>213</v>
      </c>
      <c r="Q169">
        <v>16337742</v>
      </c>
      <c r="R169">
        <v>186983725</v>
      </c>
      <c r="S169">
        <v>37.176990000000004</v>
      </c>
      <c r="T169">
        <v>-93.424300000000002</v>
      </c>
      <c r="U169" t="s">
        <v>467</v>
      </c>
      <c r="V169">
        <v>2</v>
      </c>
      <c r="W169" t="s">
        <v>213</v>
      </c>
      <c r="X169" t="s">
        <v>485</v>
      </c>
      <c r="Y169" t="s">
        <v>475</v>
      </c>
      <c r="Z169" t="s">
        <v>478</v>
      </c>
    </row>
    <row r="170" spans="1:26" x14ac:dyDescent="0.25">
      <c r="A170">
        <v>135</v>
      </c>
      <c r="B170" t="s">
        <v>419</v>
      </c>
      <c r="C170" t="s">
        <v>451</v>
      </c>
      <c r="D170">
        <v>4.5999999999999999E-2</v>
      </c>
      <c r="E170" t="s">
        <v>421</v>
      </c>
      <c r="F170">
        <v>43502</v>
      </c>
      <c r="G170" t="s">
        <v>422</v>
      </c>
      <c r="H170">
        <v>190016039</v>
      </c>
      <c r="I170">
        <v>978774</v>
      </c>
      <c r="J170" t="s">
        <v>423</v>
      </c>
      <c r="K170" t="s">
        <v>439</v>
      </c>
      <c r="L170" t="s">
        <v>440</v>
      </c>
      <c r="M170">
        <v>934771</v>
      </c>
      <c r="N170" t="s">
        <v>437</v>
      </c>
      <c r="O170">
        <v>1438</v>
      </c>
      <c r="P170" t="s">
        <v>213</v>
      </c>
      <c r="Q170">
        <v>18501676</v>
      </c>
      <c r="R170">
        <v>189186146</v>
      </c>
      <c r="S170">
        <v>37.145620000000001</v>
      </c>
      <c r="T170">
        <v>-93.429590000000005</v>
      </c>
      <c r="U170" t="s">
        <v>467</v>
      </c>
      <c r="V170">
        <v>2</v>
      </c>
      <c r="W170" t="s">
        <v>213</v>
      </c>
      <c r="X170" t="s">
        <v>477</v>
      </c>
      <c r="Y170" t="s">
        <v>452</v>
      </c>
      <c r="Z170" t="s">
        <v>479</v>
      </c>
    </row>
    <row r="171" spans="1:26" x14ac:dyDescent="0.25">
      <c r="A171">
        <v>136</v>
      </c>
      <c r="B171" t="s">
        <v>419</v>
      </c>
      <c r="C171" t="s">
        <v>435</v>
      </c>
      <c r="D171">
        <v>1.6659999999999999</v>
      </c>
      <c r="E171" t="s">
        <v>428</v>
      </c>
      <c r="F171">
        <v>43703</v>
      </c>
      <c r="G171" t="s">
        <v>422</v>
      </c>
      <c r="H171">
        <v>2190051687</v>
      </c>
      <c r="I171">
        <v>653787</v>
      </c>
      <c r="J171" t="s">
        <v>438</v>
      </c>
      <c r="K171" t="s">
        <v>424</v>
      </c>
      <c r="L171" t="s">
        <v>440</v>
      </c>
      <c r="M171">
        <v>2603</v>
      </c>
      <c r="N171" t="s">
        <v>433</v>
      </c>
      <c r="O171">
        <v>604</v>
      </c>
      <c r="P171" t="s">
        <v>213</v>
      </c>
      <c r="Q171">
        <v>20384492</v>
      </c>
      <c r="R171">
        <v>191020044</v>
      </c>
      <c r="S171">
        <v>37.176990000000004</v>
      </c>
      <c r="T171">
        <v>-93.424300000000002</v>
      </c>
      <c r="U171" t="s">
        <v>467</v>
      </c>
      <c r="V171">
        <v>2</v>
      </c>
      <c r="W171" t="s">
        <v>213</v>
      </c>
      <c r="X171" t="s">
        <v>485</v>
      </c>
      <c r="Y171" t="s">
        <v>436</v>
      </c>
      <c r="Z171" t="s">
        <v>521</v>
      </c>
    </row>
    <row r="172" spans="1:26" x14ac:dyDescent="0.25">
      <c r="A172">
        <v>137</v>
      </c>
      <c r="B172" t="s">
        <v>419</v>
      </c>
      <c r="C172" t="s">
        <v>463</v>
      </c>
      <c r="D172">
        <v>0.23599999999999999</v>
      </c>
      <c r="E172" t="s">
        <v>459</v>
      </c>
      <c r="F172">
        <v>43518</v>
      </c>
      <c r="G172" t="s">
        <v>442</v>
      </c>
      <c r="H172">
        <v>190016053</v>
      </c>
      <c r="I172">
        <v>1067307</v>
      </c>
      <c r="J172" t="s">
        <v>423</v>
      </c>
      <c r="K172" t="s">
        <v>439</v>
      </c>
      <c r="L172" t="s">
        <v>440</v>
      </c>
      <c r="M172">
        <v>1050977</v>
      </c>
      <c r="N172" t="s">
        <v>426</v>
      </c>
      <c r="O172">
        <v>655</v>
      </c>
      <c r="P172" t="s">
        <v>213</v>
      </c>
      <c r="Q172">
        <v>20369012</v>
      </c>
      <c r="R172">
        <v>190985527</v>
      </c>
      <c r="S172">
        <v>37.187860000000001</v>
      </c>
      <c r="T172">
        <v>-93.423519999999996</v>
      </c>
      <c r="U172" t="s">
        <v>465</v>
      </c>
      <c r="V172">
        <v>2</v>
      </c>
      <c r="W172" t="s">
        <v>213</v>
      </c>
      <c r="X172" t="s">
        <v>477</v>
      </c>
      <c r="Y172" t="s">
        <v>466</v>
      </c>
      <c r="Z172" t="s">
        <v>478</v>
      </c>
    </row>
    <row r="173" spans="1:26" x14ac:dyDescent="0.25">
      <c r="A173">
        <v>138</v>
      </c>
      <c r="B173" t="s">
        <v>419</v>
      </c>
      <c r="C173" t="s">
        <v>451</v>
      </c>
      <c r="D173">
        <v>2.3E-2</v>
      </c>
      <c r="E173" t="s">
        <v>421</v>
      </c>
      <c r="F173">
        <v>43511</v>
      </c>
      <c r="G173" t="s">
        <v>422</v>
      </c>
      <c r="H173">
        <v>190016036</v>
      </c>
      <c r="I173">
        <v>978773</v>
      </c>
      <c r="J173" t="s">
        <v>423</v>
      </c>
      <c r="K173" t="s">
        <v>439</v>
      </c>
      <c r="L173" t="s">
        <v>440</v>
      </c>
      <c r="M173">
        <v>934771</v>
      </c>
      <c r="N173" t="s">
        <v>426</v>
      </c>
      <c r="O173">
        <v>845</v>
      </c>
      <c r="P173" t="s">
        <v>213</v>
      </c>
      <c r="Q173">
        <v>18504249</v>
      </c>
      <c r="R173">
        <v>189189179</v>
      </c>
      <c r="S173">
        <v>37.14593</v>
      </c>
      <c r="T173">
        <v>-93.429410000000004</v>
      </c>
      <c r="U173" t="s">
        <v>467</v>
      </c>
      <c r="V173">
        <v>2</v>
      </c>
      <c r="W173" t="s">
        <v>213</v>
      </c>
      <c r="X173" t="s">
        <v>477</v>
      </c>
      <c r="Y173" t="s">
        <v>452</v>
      </c>
      <c r="Z173" t="s">
        <v>479</v>
      </c>
    </row>
    <row r="174" spans="1:26" x14ac:dyDescent="0.25">
      <c r="A174">
        <v>139</v>
      </c>
      <c r="B174" t="s">
        <v>419</v>
      </c>
      <c r="C174" t="s">
        <v>435</v>
      </c>
      <c r="D174">
        <v>3.9319999999999999</v>
      </c>
      <c r="E174" t="s">
        <v>421</v>
      </c>
      <c r="F174">
        <v>43524</v>
      </c>
      <c r="G174" t="s">
        <v>422</v>
      </c>
      <c r="H174">
        <v>190016034</v>
      </c>
      <c r="I174">
        <v>532775</v>
      </c>
      <c r="J174" t="s">
        <v>438</v>
      </c>
      <c r="K174" t="s">
        <v>424</v>
      </c>
      <c r="L174" t="s">
        <v>425</v>
      </c>
      <c r="M174">
        <v>2603</v>
      </c>
      <c r="N174" t="s">
        <v>453</v>
      </c>
      <c r="O174">
        <v>1926</v>
      </c>
      <c r="P174" t="s">
        <v>213</v>
      </c>
      <c r="Q174">
        <v>18492725</v>
      </c>
      <c r="R174">
        <v>189171637</v>
      </c>
      <c r="S174">
        <v>37.145919999999997</v>
      </c>
      <c r="T174">
        <v>-93.429119999999998</v>
      </c>
      <c r="U174" t="s">
        <v>467</v>
      </c>
      <c r="V174">
        <v>2</v>
      </c>
      <c r="W174" t="s">
        <v>213</v>
      </c>
      <c r="X174" t="s">
        <v>477</v>
      </c>
      <c r="Y174" t="s">
        <v>436</v>
      </c>
      <c r="Z174" t="s">
        <v>479</v>
      </c>
    </row>
    <row r="175" spans="1:26" x14ac:dyDescent="0.25">
      <c r="A175">
        <v>140</v>
      </c>
      <c r="B175" t="s">
        <v>419</v>
      </c>
      <c r="C175" t="s">
        <v>509</v>
      </c>
      <c r="D175">
        <v>4.3999999999999997E-2</v>
      </c>
      <c r="E175" t="s">
        <v>421</v>
      </c>
      <c r="F175">
        <v>43504</v>
      </c>
      <c r="G175" t="s">
        <v>422</v>
      </c>
      <c r="H175">
        <v>190016044</v>
      </c>
      <c r="I175">
        <v>978770</v>
      </c>
      <c r="J175" t="s">
        <v>423</v>
      </c>
      <c r="K175" t="s">
        <v>424</v>
      </c>
      <c r="L175" t="s">
        <v>425</v>
      </c>
      <c r="M175">
        <v>934768</v>
      </c>
      <c r="N175" t="s">
        <v>426</v>
      </c>
      <c r="O175">
        <v>1740</v>
      </c>
      <c r="P175" t="s">
        <v>213</v>
      </c>
      <c r="Q175">
        <v>18501686</v>
      </c>
      <c r="R175">
        <v>189186158</v>
      </c>
      <c r="S175">
        <v>37.145350000000001</v>
      </c>
      <c r="T175">
        <v>-93.428690000000003</v>
      </c>
      <c r="U175" t="s">
        <v>467</v>
      </c>
      <c r="V175">
        <v>2</v>
      </c>
      <c r="W175" t="s">
        <v>213</v>
      </c>
      <c r="X175" t="s">
        <v>477</v>
      </c>
      <c r="Y175" t="s">
        <v>452</v>
      </c>
      <c r="Z175" t="s">
        <v>499</v>
      </c>
    </row>
    <row r="176" spans="1:26" x14ac:dyDescent="0.25">
      <c r="A176">
        <v>141</v>
      </c>
      <c r="B176" t="s">
        <v>419</v>
      </c>
      <c r="C176" t="s">
        <v>435</v>
      </c>
      <c r="D176">
        <v>2.153</v>
      </c>
      <c r="E176" t="s">
        <v>447</v>
      </c>
      <c r="F176">
        <v>43707</v>
      </c>
      <c r="G176" t="s">
        <v>520</v>
      </c>
      <c r="H176">
        <v>2190054408</v>
      </c>
      <c r="I176">
        <v>0</v>
      </c>
      <c r="J176" t="s">
        <v>423</v>
      </c>
      <c r="K176" t="s">
        <v>424</v>
      </c>
      <c r="L176" t="s">
        <v>425</v>
      </c>
      <c r="M176">
        <v>2603</v>
      </c>
      <c r="N176" t="s">
        <v>426</v>
      </c>
      <c r="O176">
        <v>1753</v>
      </c>
      <c r="P176" t="s">
        <v>213</v>
      </c>
      <c r="Q176">
        <v>16252246</v>
      </c>
      <c r="R176">
        <v>186818645</v>
      </c>
      <c r="S176">
        <v>37.170209999999997</v>
      </c>
      <c r="T176">
        <v>-93.424120000000002</v>
      </c>
      <c r="U176" t="s">
        <v>467</v>
      </c>
      <c r="V176">
        <v>2</v>
      </c>
      <c r="W176" t="s">
        <v>213</v>
      </c>
      <c r="X176" t="s">
        <v>477</v>
      </c>
      <c r="Y176" t="s">
        <v>436</v>
      </c>
      <c r="Z176" t="s">
        <v>496</v>
      </c>
    </row>
    <row r="177" spans="1:26" x14ac:dyDescent="0.25">
      <c r="A177">
        <v>142</v>
      </c>
      <c r="B177" t="s">
        <v>419</v>
      </c>
      <c r="C177" t="s">
        <v>451</v>
      </c>
      <c r="D177">
        <v>4.5999999999999999E-2</v>
      </c>
      <c r="E177" t="s">
        <v>421</v>
      </c>
      <c r="F177">
        <v>43206</v>
      </c>
      <c r="G177" t="s">
        <v>422</v>
      </c>
      <c r="H177">
        <v>180013895</v>
      </c>
      <c r="I177">
        <v>978774</v>
      </c>
      <c r="J177" t="s">
        <v>423</v>
      </c>
      <c r="K177" t="s">
        <v>424</v>
      </c>
      <c r="L177" t="s">
        <v>425</v>
      </c>
      <c r="M177">
        <v>934771</v>
      </c>
      <c r="N177" t="s">
        <v>433</v>
      </c>
      <c r="O177">
        <v>1608</v>
      </c>
      <c r="P177" t="s">
        <v>213</v>
      </c>
      <c r="Q177">
        <v>12756242</v>
      </c>
      <c r="R177">
        <v>181735381</v>
      </c>
      <c r="S177">
        <v>37.145620000000001</v>
      </c>
      <c r="T177">
        <v>-93.429590000000005</v>
      </c>
      <c r="U177" t="s">
        <v>467</v>
      </c>
      <c r="V177">
        <v>2</v>
      </c>
      <c r="W177" t="s">
        <v>213</v>
      </c>
      <c r="X177" t="s">
        <v>477</v>
      </c>
      <c r="Y177" t="s">
        <v>452</v>
      </c>
      <c r="Z177" t="s">
        <v>479</v>
      </c>
    </row>
    <row r="178" spans="1:26" x14ac:dyDescent="0.25">
      <c r="A178">
        <v>143</v>
      </c>
      <c r="B178" t="s">
        <v>419</v>
      </c>
      <c r="C178" t="s">
        <v>435</v>
      </c>
      <c r="D178">
        <v>0.67900000000000005</v>
      </c>
      <c r="E178" t="s">
        <v>505</v>
      </c>
      <c r="F178">
        <v>43219</v>
      </c>
      <c r="G178" t="s">
        <v>422</v>
      </c>
      <c r="H178">
        <v>180013906</v>
      </c>
      <c r="I178">
        <v>521100</v>
      </c>
      <c r="J178" t="s">
        <v>444</v>
      </c>
      <c r="K178" t="s">
        <v>424</v>
      </c>
      <c r="L178" t="s">
        <v>425</v>
      </c>
      <c r="M178">
        <v>2603</v>
      </c>
      <c r="N178" t="s">
        <v>449</v>
      </c>
      <c r="O178">
        <v>2340</v>
      </c>
      <c r="P178" t="s">
        <v>213</v>
      </c>
      <c r="Q178">
        <v>12756264</v>
      </c>
      <c r="R178">
        <v>181735410</v>
      </c>
      <c r="S178">
        <v>37.19126</v>
      </c>
      <c r="T178">
        <v>-93.423360000000002</v>
      </c>
      <c r="U178" t="s">
        <v>467</v>
      </c>
      <c r="V178">
        <v>2</v>
      </c>
      <c r="W178" t="s">
        <v>213</v>
      </c>
      <c r="X178" t="s">
        <v>477</v>
      </c>
      <c r="Y178" t="s">
        <v>436</v>
      </c>
      <c r="Z178" t="s">
        <v>489</v>
      </c>
    </row>
    <row r="179" spans="1:26" x14ac:dyDescent="0.25">
      <c r="A179">
        <v>144</v>
      </c>
      <c r="B179" t="s">
        <v>419</v>
      </c>
      <c r="C179" t="s">
        <v>435</v>
      </c>
      <c r="D179">
        <v>3.8260000000000001</v>
      </c>
      <c r="E179" t="s">
        <v>447</v>
      </c>
      <c r="F179">
        <v>43211</v>
      </c>
      <c r="G179" t="s">
        <v>442</v>
      </c>
      <c r="H179">
        <v>180013907</v>
      </c>
      <c r="I179">
        <v>532386</v>
      </c>
      <c r="J179" t="s">
        <v>444</v>
      </c>
      <c r="K179" t="s">
        <v>439</v>
      </c>
      <c r="L179" t="s">
        <v>448</v>
      </c>
      <c r="M179">
        <v>2603</v>
      </c>
      <c r="N179" t="s">
        <v>432</v>
      </c>
      <c r="O179">
        <v>2105</v>
      </c>
      <c r="P179" t="s">
        <v>213</v>
      </c>
      <c r="Q179">
        <v>12756266</v>
      </c>
      <c r="R179">
        <v>181735412</v>
      </c>
      <c r="S179">
        <v>37.147190000000002</v>
      </c>
      <c r="T179">
        <v>-93.430199999999999</v>
      </c>
      <c r="U179" t="s">
        <v>467</v>
      </c>
      <c r="V179">
        <v>1</v>
      </c>
      <c r="W179" t="s">
        <v>434</v>
      </c>
      <c r="X179" t="s">
        <v>477</v>
      </c>
      <c r="Y179" t="s">
        <v>436</v>
      </c>
      <c r="Z179" t="s">
        <v>514</v>
      </c>
    </row>
    <row r="180" spans="1:26" x14ac:dyDescent="0.25">
      <c r="A180">
        <v>145</v>
      </c>
      <c r="B180" t="s">
        <v>419</v>
      </c>
      <c r="C180" t="s">
        <v>435</v>
      </c>
      <c r="D180">
        <v>1.302</v>
      </c>
      <c r="E180" t="s">
        <v>447</v>
      </c>
      <c r="F180">
        <v>43433</v>
      </c>
      <c r="G180" t="s">
        <v>422</v>
      </c>
      <c r="H180">
        <v>180011221</v>
      </c>
      <c r="I180">
        <v>0</v>
      </c>
      <c r="J180" t="s">
        <v>423</v>
      </c>
      <c r="K180" t="s">
        <v>424</v>
      </c>
      <c r="L180" t="s">
        <v>425</v>
      </c>
      <c r="M180">
        <v>2603</v>
      </c>
      <c r="N180" t="s">
        <v>453</v>
      </c>
      <c r="O180">
        <v>959</v>
      </c>
      <c r="P180" t="s">
        <v>213</v>
      </c>
      <c r="Q180">
        <v>12446927</v>
      </c>
      <c r="R180">
        <v>181213856</v>
      </c>
      <c r="S180">
        <v>37.182229999999997</v>
      </c>
      <c r="T180">
        <v>-93.423730000000006</v>
      </c>
      <c r="U180" t="s">
        <v>467</v>
      </c>
      <c r="V180">
        <v>2</v>
      </c>
      <c r="W180" t="s">
        <v>213</v>
      </c>
      <c r="X180" t="s">
        <v>477</v>
      </c>
      <c r="Y180" t="s">
        <v>436</v>
      </c>
      <c r="Z180" t="s">
        <v>522</v>
      </c>
    </row>
    <row r="181" spans="1:26" x14ac:dyDescent="0.25">
      <c r="A181">
        <v>146</v>
      </c>
      <c r="B181" t="s">
        <v>419</v>
      </c>
      <c r="C181" t="s">
        <v>451</v>
      </c>
      <c r="D181">
        <v>4.5999999999999999E-2</v>
      </c>
      <c r="E181" t="s">
        <v>421</v>
      </c>
      <c r="F181">
        <v>43239</v>
      </c>
      <c r="G181" t="s">
        <v>422</v>
      </c>
      <c r="H181">
        <v>180018105</v>
      </c>
      <c r="I181">
        <v>978774</v>
      </c>
      <c r="J181" t="s">
        <v>444</v>
      </c>
      <c r="K181" t="s">
        <v>424</v>
      </c>
      <c r="L181" t="s">
        <v>440</v>
      </c>
      <c r="M181">
        <v>934771</v>
      </c>
      <c r="N181" t="s">
        <v>432</v>
      </c>
      <c r="O181">
        <v>2038</v>
      </c>
      <c r="P181" t="s">
        <v>213</v>
      </c>
      <c r="Q181">
        <v>13062218</v>
      </c>
      <c r="R181">
        <v>181977549</v>
      </c>
      <c r="S181">
        <v>37.145620000000001</v>
      </c>
      <c r="T181">
        <v>-93.429590000000005</v>
      </c>
      <c r="U181" t="s">
        <v>467</v>
      </c>
      <c r="V181">
        <v>2</v>
      </c>
      <c r="W181" t="s">
        <v>213</v>
      </c>
      <c r="X181" t="s">
        <v>477</v>
      </c>
      <c r="Y181" t="s">
        <v>452</v>
      </c>
      <c r="Z181" t="s">
        <v>479</v>
      </c>
    </row>
    <row r="182" spans="1:26" x14ac:dyDescent="0.25">
      <c r="A182">
        <v>147</v>
      </c>
      <c r="B182" t="s">
        <v>419</v>
      </c>
      <c r="C182" t="s">
        <v>429</v>
      </c>
      <c r="D182">
        <v>75.534999999999997</v>
      </c>
      <c r="E182" t="s">
        <v>421</v>
      </c>
      <c r="F182">
        <v>43844</v>
      </c>
      <c r="G182" t="s">
        <v>422</v>
      </c>
      <c r="H182">
        <v>2200008620</v>
      </c>
      <c r="I182">
        <v>0</v>
      </c>
      <c r="J182" t="s">
        <v>423</v>
      </c>
      <c r="K182" t="s">
        <v>424</v>
      </c>
      <c r="L182" t="s">
        <v>440</v>
      </c>
      <c r="M182">
        <v>7782</v>
      </c>
      <c r="N182" t="s">
        <v>441</v>
      </c>
      <c r="O182">
        <v>715</v>
      </c>
      <c r="P182" t="s">
        <v>213</v>
      </c>
      <c r="Q182">
        <v>26980979</v>
      </c>
      <c r="R182">
        <v>202008857</v>
      </c>
      <c r="S182">
        <v>37.145220000000002</v>
      </c>
      <c r="T182">
        <v>-93.429869999999994</v>
      </c>
      <c r="U182" t="s">
        <v>467</v>
      </c>
      <c r="V182">
        <v>2</v>
      </c>
      <c r="W182" t="s">
        <v>213</v>
      </c>
      <c r="X182" t="s">
        <v>477</v>
      </c>
      <c r="Y182" t="s">
        <v>427</v>
      </c>
      <c r="Z182" t="s">
        <v>478</v>
      </c>
    </row>
    <row r="183" spans="1:26" x14ac:dyDescent="0.25">
      <c r="A183">
        <v>148</v>
      </c>
      <c r="B183" t="s">
        <v>419</v>
      </c>
      <c r="C183" t="s">
        <v>435</v>
      </c>
      <c r="D183">
        <v>1.675</v>
      </c>
      <c r="E183" t="s">
        <v>428</v>
      </c>
      <c r="F183">
        <v>43981</v>
      </c>
      <c r="G183" t="s">
        <v>520</v>
      </c>
      <c r="H183">
        <v>2200043877</v>
      </c>
      <c r="I183">
        <v>653787</v>
      </c>
      <c r="J183" t="s">
        <v>423</v>
      </c>
      <c r="K183" t="s">
        <v>424</v>
      </c>
      <c r="L183" t="s">
        <v>425</v>
      </c>
      <c r="M183">
        <v>2603</v>
      </c>
      <c r="N183" t="s">
        <v>432</v>
      </c>
      <c r="O183">
        <v>1531</v>
      </c>
      <c r="P183" t="s">
        <v>213</v>
      </c>
      <c r="Q183">
        <v>22456910</v>
      </c>
      <c r="R183">
        <v>194594529</v>
      </c>
      <c r="S183">
        <v>37.176870000000001</v>
      </c>
      <c r="T183">
        <v>-93.424350000000004</v>
      </c>
      <c r="U183" t="s">
        <v>467</v>
      </c>
      <c r="V183">
        <v>2</v>
      </c>
      <c r="W183" t="s">
        <v>213</v>
      </c>
      <c r="X183" t="s">
        <v>485</v>
      </c>
      <c r="Y183" t="s">
        <v>436</v>
      </c>
      <c r="Z183" t="s">
        <v>521</v>
      </c>
    </row>
    <row r="184" spans="1:26" x14ac:dyDescent="0.25">
      <c r="A184">
        <v>149</v>
      </c>
      <c r="B184" t="s">
        <v>419</v>
      </c>
      <c r="C184" t="s">
        <v>435</v>
      </c>
      <c r="D184">
        <v>1.1850000000000001</v>
      </c>
      <c r="E184" t="s">
        <v>464</v>
      </c>
      <c r="F184">
        <v>43934</v>
      </c>
      <c r="G184" t="s">
        <v>422</v>
      </c>
      <c r="H184">
        <v>2200027825</v>
      </c>
      <c r="I184">
        <v>522921</v>
      </c>
      <c r="J184" t="s">
        <v>444</v>
      </c>
      <c r="K184" t="s">
        <v>424</v>
      </c>
      <c r="L184" t="s">
        <v>425</v>
      </c>
      <c r="M184">
        <v>2603</v>
      </c>
      <c r="N184" t="s">
        <v>433</v>
      </c>
      <c r="O184">
        <v>2144</v>
      </c>
      <c r="P184" t="s">
        <v>213</v>
      </c>
      <c r="Q184">
        <v>23498627</v>
      </c>
      <c r="R184">
        <v>195878361</v>
      </c>
      <c r="S184">
        <v>37.183929999999997</v>
      </c>
      <c r="T184">
        <v>-93.423670000000001</v>
      </c>
      <c r="U184" t="s">
        <v>467</v>
      </c>
      <c r="V184">
        <v>2</v>
      </c>
      <c r="W184" t="s">
        <v>213</v>
      </c>
      <c r="X184" t="s">
        <v>477</v>
      </c>
      <c r="Y184" t="s">
        <v>436</v>
      </c>
      <c r="Z184" t="s">
        <v>483</v>
      </c>
    </row>
    <row r="185" spans="1:26" x14ac:dyDescent="0.25">
      <c r="A185">
        <v>150</v>
      </c>
      <c r="B185" t="s">
        <v>419</v>
      </c>
      <c r="C185" t="s">
        <v>451</v>
      </c>
      <c r="D185">
        <v>3.9E-2</v>
      </c>
      <c r="E185" t="s">
        <v>421</v>
      </c>
      <c r="F185">
        <v>43883</v>
      </c>
      <c r="G185" t="s">
        <v>442</v>
      </c>
      <c r="H185">
        <v>2200016509</v>
      </c>
      <c r="I185">
        <v>978774</v>
      </c>
      <c r="J185" t="s">
        <v>423</v>
      </c>
      <c r="K185" t="s">
        <v>424</v>
      </c>
      <c r="L185" t="s">
        <v>440</v>
      </c>
      <c r="M185">
        <v>934771</v>
      </c>
      <c r="N185" t="s">
        <v>432</v>
      </c>
      <c r="O185">
        <v>1535</v>
      </c>
      <c r="P185" t="s">
        <v>213</v>
      </c>
      <c r="Q185">
        <v>22394200</v>
      </c>
      <c r="R185">
        <v>194453307</v>
      </c>
      <c r="S185">
        <v>37.145710000000001</v>
      </c>
      <c r="T185">
        <v>-93.429540000000003</v>
      </c>
      <c r="U185" t="s">
        <v>467</v>
      </c>
      <c r="V185">
        <v>2</v>
      </c>
      <c r="W185" t="s">
        <v>213</v>
      </c>
      <c r="X185" t="s">
        <v>477</v>
      </c>
      <c r="Y185" t="s">
        <v>452</v>
      </c>
      <c r="Z185" t="s">
        <v>523</v>
      </c>
    </row>
    <row r="186" spans="1:26" x14ac:dyDescent="0.25">
      <c r="A186">
        <v>151</v>
      </c>
      <c r="B186" t="s">
        <v>419</v>
      </c>
      <c r="C186" t="s">
        <v>435</v>
      </c>
      <c r="D186">
        <v>1.1220000000000001</v>
      </c>
      <c r="E186" t="s">
        <v>464</v>
      </c>
      <c r="F186">
        <v>43899</v>
      </c>
      <c r="G186" t="s">
        <v>442</v>
      </c>
      <c r="H186">
        <v>2200022098</v>
      </c>
      <c r="I186">
        <v>0</v>
      </c>
      <c r="J186" t="s">
        <v>444</v>
      </c>
      <c r="K186" t="s">
        <v>424</v>
      </c>
      <c r="L186" t="s">
        <v>425</v>
      </c>
      <c r="M186">
        <v>2603</v>
      </c>
      <c r="N186" t="s">
        <v>433</v>
      </c>
      <c r="O186">
        <v>1937</v>
      </c>
      <c r="P186" t="s">
        <v>213</v>
      </c>
      <c r="Q186">
        <v>22462123</v>
      </c>
      <c r="R186">
        <v>194606959</v>
      </c>
      <c r="S186">
        <v>37.184840000000001</v>
      </c>
      <c r="T186">
        <v>-93.423640000000006</v>
      </c>
      <c r="U186" t="s">
        <v>467</v>
      </c>
      <c r="V186">
        <v>2</v>
      </c>
      <c r="W186" t="s">
        <v>213</v>
      </c>
      <c r="X186" t="s">
        <v>477</v>
      </c>
      <c r="Y186" t="s">
        <v>436</v>
      </c>
      <c r="Z186" t="s">
        <v>483</v>
      </c>
    </row>
    <row r="187" spans="1:26" x14ac:dyDescent="0.25">
      <c r="A187">
        <v>152</v>
      </c>
      <c r="B187" t="s">
        <v>419</v>
      </c>
      <c r="C187" t="s">
        <v>435</v>
      </c>
      <c r="D187">
        <v>3.8319999999999999</v>
      </c>
      <c r="E187" t="s">
        <v>421</v>
      </c>
      <c r="F187">
        <v>43858</v>
      </c>
      <c r="G187" t="s">
        <v>422</v>
      </c>
      <c r="H187">
        <v>2200009340</v>
      </c>
      <c r="I187">
        <v>532386</v>
      </c>
      <c r="J187" t="s">
        <v>444</v>
      </c>
      <c r="K187" t="s">
        <v>439</v>
      </c>
      <c r="L187" t="s">
        <v>448</v>
      </c>
      <c r="M187">
        <v>2603</v>
      </c>
      <c r="N187" t="s">
        <v>441</v>
      </c>
      <c r="O187">
        <v>1813</v>
      </c>
      <c r="P187" t="s">
        <v>213</v>
      </c>
      <c r="Q187">
        <v>22429437</v>
      </c>
      <c r="R187">
        <v>194531315</v>
      </c>
      <c r="S187">
        <v>37.147120000000001</v>
      </c>
      <c r="T187">
        <v>-93.430139999999994</v>
      </c>
      <c r="U187" t="s">
        <v>467</v>
      </c>
      <c r="V187">
        <v>2</v>
      </c>
      <c r="W187" t="s">
        <v>213</v>
      </c>
      <c r="X187" t="s">
        <v>477</v>
      </c>
      <c r="Y187" t="s">
        <v>436</v>
      </c>
      <c r="Z187" t="s">
        <v>524</v>
      </c>
    </row>
    <row r="188" spans="1:26" x14ac:dyDescent="0.25">
      <c r="A188">
        <v>153</v>
      </c>
      <c r="B188" t="s">
        <v>419</v>
      </c>
      <c r="C188" t="s">
        <v>435</v>
      </c>
      <c r="D188">
        <v>0.69399999999999995</v>
      </c>
      <c r="E188" t="s">
        <v>421</v>
      </c>
      <c r="F188">
        <v>43934</v>
      </c>
      <c r="G188" t="s">
        <v>422</v>
      </c>
      <c r="H188">
        <v>2200027185</v>
      </c>
      <c r="I188">
        <v>521100</v>
      </c>
      <c r="J188" t="s">
        <v>423</v>
      </c>
      <c r="K188" t="s">
        <v>424</v>
      </c>
      <c r="L188" t="s">
        <v>440</v>
      </c>
      <c r="M188">
        <v>2603</v>
      </c>
      <c r="N188" t="s">
        <v>433</v>
      </c>
      <c r="O188">
        <v>1250</v>
      </c>
      <c r="P188" t="s">
        <v>213</v>
      </c>
      <c r="Q188">
        <v>23475536</v>
      </c>
      <c r="R188">
        <v>195825074</v>
      </c>
      <c r="S188">
        <v>37.191040000000001</v>
      </c>
      <c r="T188">
        <v>-93.423370000000006</v>
      </c>
      <c r="U188" t="s">
        <v>467</v>
      </c>
      <c r="V188">
        <v>2</v>
      </c>
      <c r="W188" t="s">
        <v>213</v>
      </c>
      <c r="X188" t="s">
        <v>477</v>
      </c>
      <c r="Y188" t="s">
        <v>436</v>
      </c>
      <c r="Z188" t="s">
        <v>489</v>
      </c>
    </row>
    <row r="189" spans="1:26" x14ac:dyDescent="0.25">
      <c r="A189">
        <v>154</v>
      </c>
      <c r="B189" t="s">
        <v>419</v>
      </c>
      <c r="C189" t="s">
        <v>420</v>
      </c>
      <c r="D189">
        <v>265.07400000000001</v>
      </c>
      <c r="E189" t="s">
        <v>454</v>
      </c>
      <c r="F189">
        <v>43840</v>
      </c>
      <c r="G189" t="s">
        <v>422</v>
      </c>
      <c r="H189">
        <v>2200001365</v>
      </c>
      <c r="I189">
        <v>532775</v>
      </c>
      <c r="J189" t="s">
        <v>423</v>
      </c>
      <c r="K189" t="s">
        <v>424</v>
      </c>
      <c r="L189" t="s">
        <v>425</v>
      </c>
      <c r="M189">
        <v>7783</v>
      </c>
      <c r="N189" t="s">
        <v>426</v>
      </c>
      <c r="O189">
        <v>1456</v>
      </c>
      <c r="P189" t="s">
        <v>213</v>
      </c>
      <c r="Q189">
        <v>35518360</v>
      </c>
      <c r="R189">
        <v>214921076</v>
      </c>
      <c r="S189">
        <v>37.145850000000003</v>
      </c>
      <c r="T189">
        <v>-93.429069999999996</v>
      </c>
      <c r="U189" t="s">
        <v>467</v>
      </c>
      <c r="V189">
        <v>2</v>
      </c>
      <c r="W189" t="s">
        <v>213</v>
      </c>
      <c r="X189" t="s">
        <v>477</v>
      </c>
      <c r="Y189" t="s">
        <v>427</v>
      </c>
      <c r="Z189" t="s">
        <v>478</v>
      </c>
    </row>
    <row r="190" spans="1:26" x14ac:dyDescent="0.25">
      <c r="A190">
        <v>155</v>
      </c>
      <c r="B190" t="s">
        <v>419</v>
      </c>
      <c r="C190" t="s">
        <v>435</v>
      </c>
      <c r="D190">
        <v>1.806</v>
      </c>
      <c r="E190" t="s">
        <v>428</v>
      </c>
      <c r="F190">
        <v>43798</v>
      </c>
      <c r="G190" t="s">
        <v>442</v>
      </c>
      <c r="H190">
        <v>2190094618</v>
      </c>
      <c r="I190">
        <v>653786</v>
      </c>
      <c r="J190" t="s">
        <v>423</v>
      </c>
      <c r="K190" t="s">
        <v>439</v>
      </c>
      <c r="L190" t="s">
        <v>448</v>
      </c>
      <c r="M190">
        <v>2603</v>
      </c>
      <c r="N190" t="s">
        <v>426</v>
      </c>
      <c r="O190">
        <v>1034</v>
      </c>
      <c r="P190" t="s">
        <v>213</v>
      </c>
      <c r="Q190">
        <v>20893525</v>
      </c>
      <c r="R190">
        <v>192115431</v>
      </c>
      <c r="S190">
        <v>37.175040000000003</v>
      </c>
      <c r="T190">
        <v>-93.425020000000004</v>
      </c>
      <c r="U190" t="s">
        <v>467</v>
      </c>
      <c r="V190">
        <v>2</v>
      </c>
      <c r="W190" t="s">
        <v>213</v>
      </c>
      <c r="X190" t="s">
        <v>485</v>
      </c>
      <c r="Y190" t="s">
        <v>436</v>
      </c>
      <c r="Z190" t="s">
        <v>516</v>
      </c>
    </row>
    <row r="191" spans="1:26" x14ac:dyDescent="0.25">
      <c r="A191">
        <v>156</v>
      </c>
      <c r="B191" t="s">
        <v>419</v>
      </c>
      <c r="C191" t="s">
        <v>473</v>
      </c>
      <c r="D191">
        <v>4.4999999999999998E-2</v>
      </c>
      <c r="E191" t="s">
        <v>421</v>
      </c>
      <c r="F191">
        <v>43655</v>
      </c>
      <c r="G191" t="s">
        <v>422</v>
      </c>
      <c r="H191">
        <v>190034034</v>
      </c>
      <c r="I191">
        <v>978771</v>
      </c>
      <c r="J191" t="s">
        <v>423</v>
      </c>
      <c r="K191" t="s">
        <v>424</v>
      </c>
      <c r="L191" t="s">
        <v>425</v>
      </c>
      <c r="M191">
        <v>934769</v>
      </c>
      <c r="N191" t="s">
        <v>441</v>
      </c>
      <c r="O191">
        <v>1814</v>
      </c>
      <c r="P191" t="s">
        <v>213</v>
      </c>
      <c r="Q191">
        <v>22244991</v>
      </c>
      <c r="R191">
        <v>194101354</v>
      </c>
      <c r="S191">
        <v>37.145949999999999</v>
      </c>
      <c r="T191">
        <v>-93.428449999999998</v>
      </c>
      <c r="U191" t="s">
        <v>467</v>
      </c>
      <c r="V191">
        <v>2</v>
      </c>
      <c r="W191" t="s">
        <v>213</v>
      </c>
      <c r="X191" t="s">
        <v>477</v>
      </c>
      <c r="Y191" t="s">
        <v>452</v>
      </c>
      <c r="Z191" t="s">
        <v>479</v>
      </c>
    </row>
    <row r="192" spans="1:26" x14ac:dyDescent="0.25">
      <c r="A192">
        <v>157</v>
      </c>
      <c r="B192" t="s">
        <v>419</v>
      </c>
      <c r="C192" t="s">
        <v>420</v>
      </c>
      <c r="D192">
        <v>265.11599999999999</v>
      </c>
      <c r="E192" t="s">
        <v>421</v>
      </c>
      <c r="F192">
        <v>43635</v>
      </c>
      <c r="G192" t="s">
        <v>422</v>
      </c>
      <c r="H192">
        <v>190029297</v>
      </c>
      <c r="I192">
        <v>978774</v>
      </c>
      <c r="J192" t="s">
        <v>423</v>
      </c>
      <c r="K192" t="s">
        <v>424</v>
      </c>
      <c r="L192" t="s">
        <v>425</v>
      </c>
      <c r="M192">
        <v>7783</v>
      </c>
      <c r="N192" t="s">
        <v>437</v>
      </c>
      <c r="O192">
        <v>1549</v>
      </c>
      <c r="P192" t="s">
        <v>213</v>
      </c>
      <c r="Q192">
        <v>35508923</v>
      </c>
      <c r="R192">
        <v>214890617</v>
      </c>
      <c r="S192">
        <v>37.145519999999998</v>
      </c>
      <c r="T192">
        <v>-93.429699999999997</v>
      </c>
      <c r="U192" t="s">
        <v>467</v>
      </c>
      <c r="V192">
        <v>2</v>
      </c>
      <c r="W192" t="s">
        <v>213</v>
      </c>
      <c r="X192" t="s">
        <v>477</v>
      </c>
      <c r="Y192" t="s">
        <v>427</v>
      </c>
      <c r="Z192" t="s">
        <v>525</v>
      </c>
    </row>
    <row r="193" spans="1:26" x14ac:dyDescent="0.25">
      <c r="A193">
        <v>158</v>
      </c>
      <c r="B193" t="s">
        <v>419</v>
      </c>
      <c r="C193" t="s">
        <v>451</v>
      </c>
      <c r="D193">
        <v>4.9000000000000002E-2</v>
      </c>
      <c r="E193" t="s">
        <v>421</v>
      </c>
      <c r="F193">
        <v>43625</v>
      </c>
      <c r="G193" t="s">
        <v>422</v>
      </c>
      <c r="H193">
        <v>190029298</v>
      </c>
      <c r="I193">
        <v>978774</v>
      </c>
      <c r="J193" t="s">
        <v>423</v>
      </c>
      <c r="K193" t="s">
        <v>424</v>
      </c>
      <c r="L193" t="s">
        <v>425</v>
      </c>
      <c r="M193">
        <v>934771</v>
      </c>
      <c r="N193" t="s">
        <v>449</v>
      </c>
      <c r="O193">
        <v>1634</v>
      </c>
      <c r="P193" t="s">
        <v>213</v>
      </c>
      <c r="Q193">
        <v>22092040</v>
      </c>
      <c r="R193">
        <v>193719245</v>
      </c>
      <c r="S193">
        <v>37.145580000000002</v>
      </c>
      <c r="T193">
        <v>-93.42962</v>
      </c>
      <c r="U193" t="s">
        <v>467</v>
      </c>
      <c r="V193">
        <v>2</v>
      </c>
      <c r="W193" t="s">
        <v>213</v>
      </c>
      <c r="X193" t="s">
        <v>477</v>
      </c>
      <c r="Y193" t="s">
        <v>452</v>
      </c>
      <c r="Z193" t="s">
        <v>479</v>
      </c>
    </row>
    <row r="194" spans="1:26" x14ac:dyDescent="0.25">
      <c r="A194">
        <v>159</v>
      </c>
      <c r="B194" t="s">
        <v>419</v>
      </c>
      <c r="C194" t="s">
        <v>435</v>
      </c>
      <c r="D194">
        <v>3.2930000000000001</v>
      </c>
      <c r="E194" t="s">
        <v>447</v>
      </c>
      <c r="F194">
        <v>43617</v>
      </c>
      <c r="G194" t="s">
        <v>442</v>
      </c>
      <c r="H194">
        <v>190029310</v>
      </c>
      <c r="I194">
        <v>0</v>
      </c>
      <c r="J194" t="s">
        <v>423</v>
      </c>
      <c r="K194" t="s">
        <v>424</v>
      </c>
      <c r="L194" t="s">
        <v>440</v>
      </c>
      <c r="M194">
        <v>2603</v>
      </c>
      <c r="N194" t="s">
        <v>432</v>
      </c>
      <c r="O194">
        <v>1911</v>
      </c>
      <c r="P194" t="s">
        <v>213</v>
      </c>
      <c r="Q194">
        <v>22092064</v>
      </c>
      <c r="R194">
        <v>193719276</v>
      </c>
      <c r="S194">
        <v>37.153849999999998</v>
      </c>
      <c r="T194">
        <v>-93.425349999999995</v>
      </c>
      <c r="U194" t="s">
        <v>467</v>
      </c>
      <c r="V194">
        <v>1</v>
      </c>
      <c r="W194" t="s">
        <v>213</v>
      </c>
      <c r="X194" t="s">
        <v>477</v>
      </c>
      <c r="Y194" t="s">
        <v>436</v>
      </c>
      <c r="Z194" t="s">
        <v>492</v>
      </c>
    </row>
    <row r="195" spans="1:26" x14ac:dyDescent="0.25">
      <c r="A195">
        <v>160</v>
      </c>
      <c r="B195" t="s">
        <v>419</v>
      </c>
      <c r="C195" t="s">
        <v>435</v>
      </c>
      <c r="D195">
        <v>0.437</v>
      </c>
      <c r="E195" t="s">
        <v>505</v>
      </c>
      <c r="F195">
        <v>43777</v>
      </c>
      <c r="G195" t="s">
        <v>422</v>
      </c>
      <c r="H195">
        <v>3190030529</v>
      </c>
      <c r="I195">
        <v>0</v>
      </c>
      <c r="J195" t="s">
        <v>444</v>
      </c>
      <c r="K195" t="s">
        <v>424</v>
      </c>
      <c r="L195" t="s">
        <v>425</v>
      </c>
      <c r="M195">
        <v>2603</v>
      </c>
      <c r="N195" t="s">
        <v>426</v>
      </c>
      <c r="O195">
        <v>230</v>
      </c>
      <c r="P195" t="s">
        <v>434</v>
      </c>
      <c r="Q195">
        <v>20831545</v>
      </c>
      <c r="R195">
        <v>191981735</v>
      </c>
      <c r="S195">
        <v>37.194769999999998</v>
      </c>
      <c r="T195">
        <v>-93.423240000000007</v>
      </c>
      <c r="U195" t="s">
        <v>467</v>
      </c>
      <c r="V195">
        <v>1</v>
      </c>
      <c r="W195" t="s">
        <v>213</v>
      </c>
      <c r="X195" t="s">
        <v>477</v>
      </c>
      <c r="Y195" t="s">
        <v>436</v>
      </c>
      <c r="Z195" t="s">
        <v>489</v>
      </c>
    </row>
    <row r="196" spans="1:26" x14ac:dyDescent="0.25">
      <c r="A196">
        <v>161</v>
      </c>
      <c r="B196" t="s">
        <v>419</v>
      </c>
      <c r="C196" t="s">
        <v>451</v>
      </c>
      <c r="D196">
        <v>3.7999999999999999E-2</v>
      </c>
      <c r="E196" t="s">
        <v>421</v>
      </c>
      <c r="F196">
        <v>43827</v>
      </c>
      <c r="G196" t="s">
        <v>422</v>
      </c>
      <c r="H196">
        <v>2190094620</v>
      </c>
      <c r="I196">
        <v>978774</v>
      </c>
      <c r="J196" t="s">
        <v>423</v>
      </c>
      <c r="K196" t="s">
        <v>439</v>
      </c>
      <c r="L196" t="s">
        <v>448</v>
      </c>
      <c r="M196">
        <v>934771</v>
      </c>
      <c r="N196" t="s">
        <v>432</v>
      </c>
      <c r="O196">
        <v>1652</v>
      </c>
      <c r="P196" t="s">
        <v>213</v>
      </c>
      <c r="Q196">
        <v>22061288</v>
      </c>
      <c r="R196">
        <v>193659815</v>
      </c>
      <c r="S196">
        <v>37.14573</v>
      </c>
      <c r="T196">
        <v>-93.42953</v>
      </c>
      <c r="U196" t="s">
        <v>467</v>
      </c>
      <c r="V196">
        <v>2</v>
      </c>
      <c r="W196" t="s">
        <v>213</v>
      </c>
      <c r="X196" t="s">
        <v>477</v>
      </c>
      <c r="Y196" t="s">
        <v>452</v>
      </c>
      <c r="Z196" t="s">
        <v>479</v>
      </c>
    </row>
    <row r="197" spans="1:26" x14ac:dyDescent="0.25">
      <c r="A197">
        <v>162</v>
      </c>
      <c r="B197" t="s">
        <v>419</v>
      </c>
      <c r="C197" t="s">
        <v>462</v>
      </c>
      <c r="D197">
        <v>1.2E-2</v>
      </c>
      <c r="E197" t="s">
        <v>421</v>
      </c>
      <c r="F197">
        <v>43657</v>
      </c>
      <c r="G197" t="s">
        <v>442</v>
      </c>
      <c r="H197">
        <v>190034029</v>
      </c>
      <c r="I197">
        <v>532775</v>
      </c>
      <c r="J197" t="s">
        <v>423</v>
      </c>
      <c r="K197" t="s">
        <v>424</v>
      </c>
      <c r="L197" t="s">
        <v>425</v>
      </c>
      <c r="M197">
        <v>2611</v>
      </c>
      <c r="N197" t="s">
        <v>453</v>
      </c>
      <c r="O197">
        <v>1706</v>
      </c>
      <c r="P197" t="s">
        <v>213</v>
      </c>
      <c r="Q197">
        <v>22408404</v>
      </c>
      <c r="R197">
        <v>194484218</v>
      </c>
      <c r="S197">
        <v>37.145699999999998</v>
      </c>
      <c r="T197">
        <v>-93.428960000000004</v>
      </c>
      <c r="U197" t="s">
        <v>467</v>
      </c>
      <c r="V197">
        <v>2</v>
      </c>
      <c r="W197" t="s">
        <v>213</v>
      </c>
      <c r="X197" t="s">
        <v>477</v>
      </c>
      <c r="Y197" t="s">
        <v>436</v>
      </c>
      <c r="Z197" t="s">
        <v>479</v>
      </c>
    </row>
    <row r="198" spans="1:26" x14ac:dyDescent="0.25">
      <c r="A198">
        <v>163</v>
      </c>
      <c r="B198" t="s">
        <v>419</v>
      </c>
      <c r="C198" t="s">
        <v>451</v>
      </c>
      <c r="D198">
        <v>4.9000000000000002E-2</v>
      </c>
      <c r="E198" t="s">
        <v>421</v>
      </c>
      <c r="F198">
        <v>43739</v>
      </c>
      <c r="G198" t="s">
        <v>422</v>
      </c>
      <c r="H198">
        <v>2190068311</v>
      </c>
      <c r="I198">
        <v>978774</v>
      </c>
      <c r="J198" t="s">
        <v>423</v>
      </c>
      <c r="K198" t="s">
        <v>424</v>
      </c>
      <c r="L198" t="s">
        <v>425</v>
      </c>
      <c r="M198">
        <v>934771</v>
      </c>
      <c r="N198" t="s">
        <v>441</v>
      </c>
      <c r="O198">
        <v>1439</v>
      </c>
      <c r="P198" t="s">
        <v>213</v>
      </c>
      <c r="Q198">
        <v>20397848</v>
      </c>
      <c r="R198">
        <v>191047242</v>
      </c>
      <c r="S198">
        <v>37.145580000000002</v>
      </c>
      <c r="T198">
        <v>-93.42962</v>
      </c>
      <c r="U198" t="s">
        <v>467</v>
      </c>
      <c r="V198">
        <v>2</v>
      </c>
      <c r="W198" t="s">
        <v>213</v>
      </c>
      <c r="X198" t="s">
        <v>477</v>
      </c>
      <c r="Y198" t="s">
        <v>452</v>
      </c>
      <c r="Z198" t="s">
        <v>523</v>
      </c>
    </row>
    <row r="199" spans="1:26" x14ac:dyDescent="0.25">
      <c r="A199">
        <v>164</v>
      </c>
      <c r="B199" t="s">
        <v>419</v>
      </c>
      <c r="C199" t="s">
        <v>429</v>
      </c>
      <c r="D199">
        <v>75.594999999999999</v>
      </c>
      <c r="E199" t="s">
        <v>428</v>
      </c>
      <c r="F199">
        <v>43776</v>
      </c>
      <c r="G199" t="s">
        <v>422</v>
      </c>
      <c r="H199">
        <v>2190080512</v>
      </c>
      <c r="I199">
        <v>532832</v>
      </c>
      <c r="J199" t="s">
        <v>423</v>
      </c>
      <c r="K199" t="s">
        <v>424</v>
      </c>
      <c r="L199" t="s">
        <v>425</v>
      </c>
      <c r="M199">
        <v>7782</v>
      </c>
      <c r="N199" t="s">
        <v>453</v>
      </c>
      <c r="O199">
        <v>1419</v>
      </c>
      <c r="P199" t="s">
        <v>213</v>
      </c>
      <c r="Q199">
        <v>26976256</v>
      </c>
      <c r="R199">
        <v>201994570</v>
      </c>
      <c r="S199">
        <v>37.145699999999998</v>
      </c>
      <c r="T199">
        <v>-93.428960000000004</v>
      </c>
      <c r="U199" t="s">
        <v>467</v>
      </c>
      <c r="V199">
        <v>2</v>
      </c>
      <c r="W199" t="s">
        <v>213</v>
      </c>
      <c r="X199" t="s">
        <v>477</v>
      </c>
      <c r="Y199" t="s">
        <v>427</v>
      </c>
      <c r="Z199" t="s">
        <v>480</v>
      </c>
    </row>
    <row r="200" spans="1:26" x14ac:dyDescent="0.25">
      <c r="A200">
        <v>165</v>
      </c>
      <c r="B200" t="s">
        <v>419</v>
      </c>
      <c r="C200" t="s">
        <v>429</v>
      </c>
      <c r="D200">
        <v>75.594999999999999</v>
      </c>
      <c r="E200" t="s">
        <v>459</v>
      </c>
      <c r="F200">
        <v>43582</v>
      </c>
      <c r="G200" t="s">
        <v>442</v>
      </c>
      <c r="H200">
        <v>190024400</v>
      </c>
      <c r="I200">
        <v>532832</v>
      </c>
      <c r="J200" t="s">
        <v>438</v>
      </c>
      <c r="K200" t="s">
        <v>424</v>
      </c>
      <c r="L200" t="s">
        <v>425</v>
      </c>
      <c r="M200">
        <v>7782</v>
      </c>
      <c r="N200" t="s">
        <v>432</v>
      </c>
      <c r="O200">
        <v>2134</v>
      </c>
      <c r="P200" t="s">
        <v>213</v>
      </c>
      <c r="Q200">
        <v>26969491</v>
      </c>
      <c r="R200">
        <v>201969023</v>
      </c>
      <c r="S200">
        <v>37.145699999999998</v>
      </c>
      <c r="T200">
        <v>-93.428960000000004</v>
      </c>
      <c r="U200" t="s">
        <v>467</v>
      </c>
      <c r="V200">
        <v>2</v>
      </c>
      <c r="W200" t="s">
        <v>213</v>
      </c>
      <c r="X200" t="s">
        <v>477</v>
      </c>
      <c r="Y200" t="s">
        <v>427</v>
      </c>
      <c r="Z200" t="s">
        <v>480</v>
      </c>
    </row>
    <row r="201" spans="1:26" x14ac:dyDescent="0.25">
      <c r="A201">
        <v>166</v>
      </c>
      <c r="B201" t="s">
        <v>419</v>
      </c>
      <c r="C201" t="s">
        <v>429</v>
      </c>
      <c r="D201">
        <v>75.588999999999999</v>
      </c>
      <c r="E201" t="s">
        <v>421</v>
      </c>
      <c r="F201">
        <v>43565</v>
      </c>
      <c r="G201" t="s">
        <v>422</v>
      </c>
      <c r="H201">
        <v>190024403</v>
      </c>
      <c r="I201">
        <v>532832</v>
      </c>
      <c r="J201" t="s">
        <v>423</v>
      </c>
      <c r="K201" t="s">
        <v>424</v>
      </c>
      <c r="L201" t="s">
        <v>425</v>
      </c>
      <c r="M201">
        <v>7782</v>
      </c>
      <c r="N201" t="s">
        <v>437</v>
      </c>
      <c r="O201">
        <v>756</v>
      </c>
      <c r="P201" t="s">
        <v>213</v>
      </c>
      <c r="Q201">
        <v>26969492</v>
      </c>
      <c r="R201">
        <v>201969026</v>
      </c>
      <c r="S201">
        <v>37.145650000000003</v>
      </c>
      <c r="T201">
        <v>-93.429050000000004</v>
      </c>
      <c r="U201" t="s">
        <v>467</v>
      </c>
      <c r="V201">
        <v>2</v>
      </c>
      <c r="W201" t="s">
        <v>213</v>
      </c>
      <c r="X201" t="s">
        <v>477</v>
      </c>
      <c r="Y201" t="s">
        <v>427</v>
      </c>
      <c r="Z201" t="s">
        <v>480</v>
      </c>
    </row>
    <row r="202" spans="1:26" x14ac:dyDescent="0.25">
      <c r="A202">
        <v>167</v>
      </c>
      <c r="B202" t="s">
        <v>419</v>
      </c>
      <c r="C202" t="s">
        <v>435</v>
      </c>
      <c r="D202">
        <v>3.9380000000000002</v>
      </c>
      <c r="E202" t="s">
        <v>421</v>
      </c>
      <c r="F202">
        <v>43559</v>
      </c>
      <c r="G202" t="s">
        <v>422</v>
      </c>
      <c r="H202">
        <v>190024588</v>
      </c>
      <c r="I202">
        <v>532775</v>
      </c>
      <c r="J202" t="s">
        <v>423</v>
      </c>
      <c r="K202" t="s">
        <v>439</v>
      </c>
      <c r="L202" t="s">
        <v>440</v>
      </c>
      <c r="M202">
        <v>2603</v>
      </c>
      <c r="N202" t="s">
        <v>453</v>
      </c>
      <c r="O202">
        <v>1451</v>
      </c>
      <c r="P202" t="s">
        <v>213</v>
      </c>
      <c r="Q202">
        <v>20816329</v>
      </c>
      <c r="R202">
        <v>191948966</v>
      </c>
      <c r="S202">
        <v>37.145859999999999</v>
      </c>
      <c r="T202">
        <v>-93.429060000000007</v>
      </c>
      <c r="U202" t="s">
        <v>467</v>
      </c>
      <c r="V202">
        <v>3</v>
      </c>
      <c r="W202" t="s">
        <v>213</v>
      </c>
      <c r="X202" t="s">
        <v>477</v>
      </c>
      <c r="Y202" t="s">
        <v>436</v>
      </c>
      <c r="Z202" t="s">
        <v>479</v>
      </c>
    </row>
    <row r="203" spans="1:26" x14ac:dyDescent="0.25">
      <c r="A203">
        <v>168</v>
      </c>
      <c r="B203" t="s">
        <v>419</v>
      </c>
      <c r="C203" t="s">
        <v>435</v>
      </c>
      <c r="D203">
        <v>2.2200000000000002</v>
      </c>
      <c r="E203" t="s">
        <v>428</v>
      </c>
      <c r="F203">
        <v>43791</v>
      </c>
      <c r="G203" t="s">
        <v>422</v>
      </c>
      <c r="H203">
        <v>2190080744</v>
      </c>
      <c r="I203">
        <v>526664</v>
      </c>
      <c r="J203" t="s">
        <v>438</v>
      </c>
      <c r="K203" t="s">
        <v>439</v>
      </c>
      <c r="L203" t="s">
        <v>526</v>
      </c>
      <c r="M203">
        <v>2603</v>
      </c>
      <c r="N203" t="s">
        <v>426</v>
      </c>
      <c r="O203">
        <v>1903</v>
      </c>
      <c r="P203" t="s">
        <v>213</v>
      </c>
      <c r="Q203">
        <v>20826783</v>
      </c>
      <c r="R203">
        <v>191973123</v>
      </c>
      <c r="S203">
        <v>37.169240000000002</v>
      </c>
      <c r="T203">
        <v>-93.424090000000007</v>
      </c>
      <c r="U203" t="s">
        <v>467</v>
      </c>
      <c r="V203">
        <v>2</v>
      </c>
      <c r="W203" t="s">
        <v>213</v>
      </c>
      <c r="X203" t="s">
        <v>477</v>
      </c>
      <c r="Y203" t="s">
        <v>436</v>
      </c>
      <c r="Z203" t="s">
        <v>527</v>
      </c>
    </row>
    <row r="204" spans="1:26" x14ac:dyDescent="0.25">
      <c r="A204">
        <v>169</v>
      </c>
      <c r="B204" t="s">
        <v>419</v>
      </c>
      <c r="C204" t="s">
        <v>474</v>
      </c>
      <c r="D204">
        <v>0.26900000000000002</v>
      </c>
      <c r="E204" t="s">
        <v>421</v>
      </c>
      <c r="F204">
        <v>43570</v>
      </c>
      <c r="G204" t="s">
        <v>422</v>
      </c>
      <c r="H204">
        <v>190024594</v>
      </c>
      <c r="I204">
        <v>653787</v>
      </c>
      <c r="J204" t="s">
        <v>423</v>
      </c>
      <c r="K204" t="s">
        <v>424</v>
      </c>
      <c r="L204" t="s">
        <v>425</v>
      </c>
      <c r="M204">
        <v>279232</v>
      </c>
      <c r="N204" t="s">
        <v>433</v>
      </c>
      <c r="O204">
        <v>655</v>
      </c>
      <c r="P204" t="s">
        <v>213</v>
      </c>
      <c r="Q204">
        <v>20816342</v>
      </c>
      <c r="R204">
        <v>191948985</v>
      </c>
      <c r="S204">
        <v>37.17698</v>
      </c>
      <c r="T204">
        <v>-93.424270000000007</v>
      </c>
      <c r="U204" t="s">
        <v>467</v>
      </c>
      <c r="V204">
        <v>2</v>
      </c>
      <c r="W204" t="s">
        <v>213</v>
      </c>
      <c r="X204" t="s">
        <v>485</v>
      </c>
      <c r="Y204" t="s">
        <v>475</v>
      </c>
      <c r="Z204" t="s">
        <v>478</v>
      </c>
    </row>
    <row r="205" spans="1:26" x14ac:dyDescent="0.25">
      <c r="A205">
        <v>170</v>
      </c>
      <c r="B205" t="s">
        <v>419</v>
      </c>
      <c r="C205" t="s">
        <v>528</v>
      </c>
      <c r="D205">
        <v>3.7999999999999999E-2</v>
      </c>
      <c r="E205" t="s">
        <v>421</v>
      </c>
      <c r="F205">
        <v>43515</v>
      </c>
      <c r="G205" t="s">
        <v>422</v>
      </c>
      <c r="H205">
        <v>190016043</v>
      </c>
      <c r="I205">
        <v>978773</v>
      </c>
      <c r="J205" t="s">
        <v>444</v>
      </c>
      <c r="K205" t="s">
        <v>424</v>
      </c>
      <c r="L205" t="s">
        <v>425</v>
      </c>
      <c r="M205">
        <v>934770</v>
      </c>
      <c r="N205" t="s">
        <v>441</v>
      </c>
      <c r="O205">
        <v>611</v>
      </c>
      <c r="P205" t="s">
        <v>213</v>
      </c>
      <c r="Q205">
        <v>18501684</v>
      </c>
      <c r="R205">
        <v>189186156</v>
      </c>
      <c r="S205">
        <v>37.14611</v>
      </c>
      <c r="T205">
        <v>-93.429180000000002</v>
      </c>
      <c r="U205" t="s">
        <v>467</v>
      </c>
      <c r="V205">
        <v>2</v>
      </c>
      <c r="W205" t="s">
        <v>213</v>
      </c>
      <c r="X205" t="s">
        <v>477</v>
      </c>
      <c r="Y205" t="s">
        <v>452</v>
      </c>
      <c r="Z205" t="s">
        <v>479</v>
      </c>
    </row>
    <row r="206" spans="1:26" x14ac:dyDescent="0.25">
      <c r="A206">
        <v>171</v>
      </c>
      <c r="B206" t="s">
        <v>419</v>
      </c>
      <c r="C206" t="s">
        <v>435</v>
      </c>
      <c r="D206">
        <v>1.4730000000000001</v>
      </c>
      <c r="E206" t="s">
        <v>421</v>
      </c>
      <c r="F206">
        <v>43682</v>
      </c>
      <c r="G206" t="s">
        <v>422</v>
      </c>
      <c r="H206">
        <v>2190047399</v>
      </c>
      <c r="I206">
        <v>0</v>
      </c>
      <c r="J206" t="s">
        <v>423</v>
      </c>
      <c r="K206" t="s">
        <v>424</v>
      </c>
      <c r="L206" t="s">
        <v>425</v>
      </c>
      <c r="M206">
        <v>2603</v>
      </c>
      <c r="N206" t="s">
        <v>433</v>
      </c>
      <c r="O206">
        <v>1606</v>
      </c>
      <c r="P206" t="s">
        <v>213</v>
      </c>
      <c r="Q206">
        <v>20383381</v>
      </c>
      <c r="R206">
        <v>191017574</v>
      </c>
      <c r="S206">
        <v>37.179749999999999</v>
      </c>
      <c r="T206">
        <v>-93.4238</v>
      </c>
      <c r="U206" t="s">
        <v>467</v>
      </c>
      <c r="V206">
        <v>2</v>
      </c>
      <c r="W206" t="s">
        <v>213</v>
      </c>
      <c r="X206" t="s">
        <v>477</v>
      </c>
      <c r="Y206" t="s">
        <v>436</v>
      </c>
      <c r="Z206" t="s">
        <v>522</v>
      </c>
    </row>
    <row r="207" spans="1:26" x14ac:dyDescent="0.25">
      <c r="A207">
        <v>172</v>
      </c>
      <c r="B207" t="s">
        <v>419</v>
      </c>
      <c r="C207" t="s">
        <v>435</v>
      </c>
      <c r="D207">
        <v>2.54</v>
      </c>
      <c r="E207" t="s">
        <v>421</v>
      </c>
      <c r="F207">
        <v>44044</v>
      </c>
      <c r="G207" t="s">
        <v>422</v>
      </c>
      <c r="H207">
        <v>2200054750</v>
      </c>
      <c r="I207">
        <v>527743</v>
      </c>
      <c r="J207" t="s">
        <v>423</v>
      </c>
      <c r="K207" t="s">
        <v>424</v>
      </c>
      <c r="L207" t="s">
        <v>425</v>
      </c>
      <c r="M207">
        <v>2603</v>
      </c>
      <c r="N207" t="s">
        <v>432</v>
      </c>
      <c r="O207">
        <v>620</v>
      </c>
      <c r="P207" t="s">
        <v>213</v>
      </c>
      <c r="Q207">
        <v>23808572</v>
      </c>
      <c r="R207">
        <v>196580417</v>
      </c>
      <c r="S207">
        <v>37.1646</v>
      </c>
      <c r="T207">
        <v>-93.424220000000005</v>
      </c>
      <c r="U207" t="s">
        <v>467</v>
      </c>
      <c r="V207">
        <v>2</v>
      </c>
      <c r="W207" t="s">
        <v>213</v>
      </c>
      <c r="X207" t="s">
        <v>477</v>
      </c>
      <c r="Y207" t="s">
        <v>436</v>
      </c>
      <c r="Z207" t="s">
        <v>503</v>
      </c>
    </row>
    <row r="208" spans="1:26" x14ac:dyDescent="0.25">
      <c r="A208">
        <v>173</v>
      </c>
      <c r="B208" t="s">
        <v>419</v>
      </c>
      <c r="C208" t="s">
        <v>435</v>
      </c>
      <c r="D208">
        <v>0.70699999999999996</v>
      </c>
      <c r="E208" t="s">
        <v>421</v>
      </c>
      <c r="F208">
        <v>44000</v>
      </c>
      <c r="G208" t="s">
        <v>422</v>
      </c>
      <c r="H208">
        <v>2200043871</v>
      </c>
      <c r="I208">
        <v>521100</v>
      </c>
      <c r="J208" t="s">
        <v>423</v>
      </c>
      <c r="K208" t="s">
        <v>424</v>
      </c>
      <c r="L208" t="s">
        <v>425</v>
      </c>
      <c r="M208">
        <v>2603</v>
      </c>
      <c r="N208" t="s">
        <v>453</v>
      </c>
      <c r="O208">
        <v>1647</v>
      </c>
      <c r="P208" t="s">
        <v>213</v>
      </c>
      <c r="Q208">
        <v>23700213</v>
      </c>
      <c r="R208">
        <v>196339975</v>
      </c>
      <c r="S208">
        <v>37.190849999999998</v>
      </c>
      <c r="T208">
        <v>-93.423379999999995</v>
      </c>
      <c r="U208" t="s">
        <v>467</v>
      </c>
      <c r="V208">
        <v>2</v>
      </c>
      <c r="W208" t="s">
        <v>213</v>
      </c>
      <c r="X208" t="s">
        <v>477</v>
      </c>
      <c r="Y208" t="s">
        <v>436</v>
      </c>
      <c r="Z208" t="s">
        <v>489</v>
      </c>
    </row>
    <row r="209" spans="1:26" x14ac:dyDescent="0.25">
      <c r="A209">
        <v>174</v>
      </c>
      <c r="B209" t="s">
        <v>419</v>
      </c>
      <c r="C209" t="s">
        <v>435</v>
      </c>
      <c r="D209">
        <v>2.5310000000000001</v>
      </c>
      <c r="E209" t="s">
        <v>447</v>
      </c>
      <c r="F209">
        <v>44098</v>
      </c>
      <c r="G209" t="s">
        <v>442</v>
      </c>
      <c r="H209">
        <v>2200073165</v>
      </c>
      <c r="I209">
        <v>527743</v>
      </c>
      <c r="J209" t="s">
        <v>423</v>
      </c>
      <c r="K209" t="s">
        <v>424</v>
      </c>
      <c r="L209" t="s">
        <v>425</v>
      </c>
      <c r="M209">
        <v>2603</v>
      </c>
      <c r="N209" t="s">
        <v>453</v>
      </c>
      <c r="O209">
        <v>1525</v>
      </c>
      <c r="P209" t="s">
        <v>434</v>
      </c>
      <c r="Q209">
        <v>23804083</v>
      </c>
      <c r="R209">
        <v>196569348</v>
      </c>
      <c r="S209">
        <v>37.164740000000002</v>
      </c>
      <c r="T209">
        <v>-93.424220000000005</v>
      </c>
      <c r="U209" t="s">
        <v>467</v>
      </c>
      <c r="V209">
        <v>1</v>
      </c>
      <c r="W209" t="s">
        <v>529</v>
      </c>
      <c r="X209" t="s">
        <v>477</v>
      </c>
      <c r="Y209" t="s">
        <v>436</v>
      </c>
      <c r="Z209" t="s">
        <v>503</v>
      </c>
    </row>
    <row r="210" spans="1:26" x14ac:dyDescent="0.25">
      <c r="A210">
        <v>175</v>
      </c>
      <c r="B210" t="s">
        <v>419</v>
      </c>
      <c r="C210" t="s">
        <v>435</v>
      </c>
      <c r="D210">
        <v>1.6659999999999999</v>
      </c>
      <c r="E210" t="s">
        <v>430</v>
      </c>
      <c r="F210">
        <v>44012</v>
      </c>
      <c r="G210" t="s">
        <v>442</v>
      </c>
      <c r="H210">
        <v>2200045993</v>
      </c>
      <c r="I210">
        <v>653787</v>
      </c>
      <c r="J210" t="s">
        <v>438</v>
      </c>
      <c r="K210" t="s">
        <v>424</v>
      </c>
      <c r="L210" t="s">
        <v>425</v>
      </c>
      <c r="M210">
        <v>2603</v>
      </c>
      <c r="N210" t="s">
        <v>441</v>
      </c>
      <c r="O210">
        <v>2111</v>
      </c>
      <c r="P210" t="s">
        <v>213</v>
      </c>
      <c r="Q210">
        <v>23722189</v>
      </c>
      <c r="R210">
        <v>196389242</v>
      </c>
      <c r="S210">
        <v>37.176990000000004</v>
      </c>
      <c r="T210">
        <v>-93.424300000000002</v>
      </c>
      <c r="U210" t="s">
        <v>467</v>
      </c>
      <c r="V210">
        <v>2</v>
      </c>
      <c r="W210" t="s">
        <v>213</v>
      </c>
      <c r="X210" t="s">
        <v>485</v>
      </c>
      <c r="Y210" t="s">
        <v>436</v>
      </c>
      <c r="Z210" t="s">
        <v>521</v>
      </c>
    </row>
    <row r="211" spans="1:26" x14ac:dyDescent="0.25">
      <c r="A211">
        <v>176</v>
      </c>
      <c r="B211" t="s">
        <v>419</v>
      </c>
      <c r="C211" t="s">
        <v>517</v>
      </c>
      <c r="D211">
        <v>0.26300000000000001</v>
      </c>
      <c r="E211" t="s">
        <v>428</v>
      </c>
      <c r="F211">
        <v>43633</v>
      </c>
      <c r="G211" t="s">
        <v>442</v>
      </c>
      <c r="H211">
        <v>190029091</v>
      </c>
      <c r="I211">
        <v>653786</v>
      </c>
      <c r="J211" t="s">
        <v>423</v>
      </c>
      <c r="K211" t="s">
        <v>424</v>
      </c>
      <c r="L211" t="s">
        <v>425</v>
      </c>
      <c r="M211">
        <v>279234</v>
      </c>
      <c r="N211" t="s">
        <v>433</v>
      </c>
      <c r="O211">
        <v>1107</v>
      </c>
      <c r="P211" t="s">
        <v>213</v>
      </c>
      <c r="Q211">
        <v>22091989</v>
      </c>
      <c r="R211">
        <v>193719186</v>
      </c>
      <c r="S211">
        <v>37.175040000000003</v>
      </c>
      <c r="T211">
        <v>-93.425020000000004</v>
      </c>
      <c r="U211" t="s">
        <v>467</v>
      </c>
      <c r="V211">
        <v>2</v>
      </c>
      <c r="W211" t="s">
        <v>213</v>
      </c>
      <c r="X211" t="s">
        <v>485</v>
      </c>
      <c r="Y211" t="s">
        <v>475</v>
      </c>
      <c r="Z211" t="s">
        <v>478</v>
      </c>
    </row>
    <row r="212" spans="1:26" x14ac:dyDescent="0.25">
      <c r="A212">
        <v>177</v>
      </c>
      <c r="B212" t="s">
        <v>419</v>
      </c>
      <c r="C212" t="s">
        <v>429</v>
      </c>
      <c r="D212">
        <v>75.594999999999999</v>
      </c>
      <c r="E212" t="s">
        <v>530</v>
      </c>
      <c r="F212">
        <v>43657</v>
      </c>
      <c r="G212" t="s">
        <v>422</v>
      </c>
      <c r="H212">
        <v>190034030</v>
      </c>
      <c r="I212">
        <v>532832</v>
      </c>
      <c r="J212" t="s">
        <v>423</v>
      </c>
      <c r="K212" t="s">
        <v>439</v>
      </c>
      <c r="L212" t="s">
        <v>425</v>
      </c>
      <c r="M212">
        <v>7782</v>
      </c>
      <c r="N212" t="s">
        <v>453</v>
      </c>
      <c r="O212">
        <v>1005</v>
      </c>
      <c r="P212" t="s">
        <v>213</v>
      </c>
      <c r="Q212">
        <v>26970130</v>
      </c>
      <c r="R212">
        <v>201971091</v>
      </c>
      <c r="S212">
        <v>37.145699999999998</v>
      </c>
      <c r="T212">
        <v>-93.428960000000004</v>
      </c>
      <c r="U212" t="s">
        <v>467</v>
      </c>
      <c r="V212">
        <v>2</v>
      </c>
      <c r="W212" t="s">
        <v>213</v>
      </c>
      <c r="X212" t="s">
        <v>477</v>
      </c>
      <c r="Y212" t="s">
        <v>427</v>
      </c>
      <c r="Z212" t="s">
        <v>478</v>
      </c>
    </row>
    <row r="213" spans="1:26" x14ac:dyDescent="0.25">
      <c r="A213">
        <v>178</v>
      </c>
      <c r="B213" t="s">
        <v>419</v>
      </c>
      <c r="C213" t="s">
        <v>451</v>
      </c>
      <c r="D213">
        <v>4.8000000000000001E-2</v>
      </c>
      <c r="E213" t="s">
        <v>421</v>
      </c>
      <c r="F213">
        <v>43875</v>
      </c>
      <c r="G213" t="s">
        <v>422</v>
      </c>
      <c r="H213">
        <v>2200012768</v>
      </c>
      <c r="I213">
        <v>978774</v>
      </c>
      <c r="J213" t="s">
        <v>438</v>
      </c>
      <c r="K213" t="s">
        <v>424</v>
      </c>
      <c r="L213" t="s">
        <v>425</v>
      </c>
      <c r="M213">
        <v>934771</v>
      </c>
      <c r="N213" t="s">
        <v>426</v>
      </c>
      <c r="O213">
        <v>2153</v>
      </c>
      <c r="P213" t="s">
        <v>213</v>
      </c>
      <c r="Q213">
        <v>22345398</v>
      </c>
      <c r="R213">
        <v>194346026</v>
      </c>
      <c r="S213">
        <v>37.145589999999999</v>
      </c>
      <c r="T213">
        <v>-93.429609999999997</v>
      </c>
      <c r="U213" t="s">
        <v>467</v>
      </c>
      <c r="V213">
        <v>2</v>
      </c>
      <c r="W213" t="s">
        <v>213</v>
      </c>
      <c r="X213" t="s">
        <v>477</v>
      </c>
      <c r="Y213" t="s">
        <v>452</v>
      </c>
      <c r="Z213" t="s">
        <v>479</v>
      </c>
    </row>
    <row r="214" spans="1:26" x14ac:dyDescent="0.25">
      <c r="A214">
        <v>179</v>
      </c>
      <c r="B214" t="s">
        <v>419</v>
      </c>
      <c r="C214" t="s">
        <v>420</v>
      </c>
      <c r="D214">
        <v>265.06599999999997</v>
      </c>
      <c r="E214" t="s">
        <v>428</v>
      </c>
      <c r="F214">
        <v>43858</v>
      </c>
      <c r="G214" t="s">
        <v>442</v>
      </c>
      <c r="H214">
        <v>2200009337</v>
      </c>
      <c r="I214">
        <v>532775</v>
      </c>
      <c r="J214" t="s">
        <v>438</v>
      </c>
      <c r="K214" t="s">
        <v>424</v>
      </c>
      <c r="L214" t="s">
        <v>425</v>
      </c>
      <c r="M214">
        <v>7783</v>
      </c>
      <c r="N214" t="s">
        <v>441</v>
      </c>
      <c r="O214">
        <v>530</v>
      </c>
      <c r="P214" t="s">
        <v>213</v>
      </c>
      <c r="Q214">
        <v>35518801</v>
      </c>
      <c r="R214">
        <v>214922520</v>
      </c>
      <c r="S214">
        <v>37.145910000000001</v>
      </c>
      <c r="T214">
        <v>-93.42895</v>
      </c>
      <c r="U214" t="s">
        <v>467</v>
      </c>
      <c r="V214">
        <v>2</v>
      </c>
      <c r="W214" t="s">
        <v>213</v>
      </c>
      <c r="X214" t="s">
        <v>477</v>
      </c>
      <c r="Y214" t="s">
        <v>427</v>
      </c>
      <c r="Z214" t="s">
        <v>531</v>
      </c>
    </row>
    <row r="215" spans="1:26" x14ac:dyDescent="0.25">
      <c r="A215">
        <v>180</v>
      </c>
      <c r="B215" t="s">
        <v>419</v>
      </c>
      <c r="C215" t="s">
        <v>429</v>
      </c>
      <c r="D215">
        <v>75.558999999999997</v>
      </c>
      <c r="E215" t="s">
        <v>421</v>
      </c>
      <c r="F215">
        <v>43483</v>
      </c>
      <c r="G215" t="s">
        <v>442</v>
      </c>
      <c r="H215">
        <v>190019759</v>
      </c>
      <c r="I215">
        <v>978769</v>
      </c>
      <c r="J215" t="s">
        <v>423</v>
      </c>
      <c r="K215" t="s">
        <v>424</v>
      </c>
      <c r="L215" t="s">
        <v>440</v>
      </c>
      <c r="M215">
        <v>7782</v>
      </c>
      <c r="N215" t="s">
        <v>426</v>
      </c>
      <c r="O215">
        <v>1610</v>
      </c>
      <c r="P215" t="s">
        <v>434</v>
      </c>
      <c r="Q215">
        <v>26969220</v>
      </c>
      <c r="R215">
        <v>201968206</v>
      </c>
      <c r="S215">
        <v>37.145409999999998</v>
      </c>
      <c r="T215">
        <v>-93.429509999999993</v>
      </c>
      <c r="U215" t="s">
        <v>467</v>
      </c>
      <c r="V215">
        <v>3</v>
      </c>
      <c r="W215" t="s">
        <v>529</v>
      </c>
      <c r="X215" t="s">
        <v>477</v>
      </c>
      <c r="Y215" t="s">
        <v>427</v>
      </c>
      <c r="Z215" t="s">
        <v>480</v>
      </c>
    </row>
    <row r="216" spans="1:26" x14ac:dyDescent="0.25">
      <c r="A216">
        <v>181</v>
      </c>
      <c r="B216" t="s">
        <v>419</v>
      </c>
      <c r="C216" t="s">
        <v>451</v>
      </c>
      <c r="D216">
        <v>3.3000000000000002E-2</v>
      </c>
      <c r="E216" t="s">
        <v>421</v>
      </c>
      <c r="F216">
        <v>43864</v>
      </c>
      <c r="G216" t="s">
        <v>422</v>
      </c>
      <c r="H216">
        <v>2200009042</v>
      </c>
      <c r="I216">
        <v>978774</v>
      </c>
      <c r="J216" t="s">
        <v>444</v>
      </c>
      <c r="K216" t="s">
        <v>424</v>
      </c>
      <c r="L216" t="s">
        <v>425</v>
      </c>
      <c r="M216">
        <v>934771</v>
      </c>
      <c r="N216" t="s">
        <v>433</v>
      </c>
      <c r="O216">
        <v>642</v>
      </c>
      <c r="P216" t="s">
        <v>213</v>
      </c>
      <c r="Q216">
        <v>22293774</v>
      </c>
      <c r="R216">
        <v>194232792</v>
      </c>
      <c r="S216">
        <v>37.145789999999998</v>
      </c>
      <c r="T216">
        <v>-93.429490000000001</v>
      </c>
      <c r="U216" t="s">
        <v>467</v>
      </c>
      <c r="V216">
        <v>2</v>
      </c>
      <c r="W216" t="s">
        <v>213</v>
      </c>
      <c r="X216" t="s">
        <v>477</v>
      </c>
      <c r="Y216" t="s">
        <v>452</v>
      </c>
      <c r="Z216" t="s">
        <v>479</v>
      </c>
    </row>
    <row r="217" spans="1:26" x14ac:dyDescent="0.25">
      <c r="A217">
        <v>182</v>
      </c>
      <c r="B217" t="s">
        <v>419</v>
      </c>
      <c r="C217" t="s">
        <v>451</v>
      </c>
      <c r="D217">
        <v>4.5999999999999999E-2</v>
      </c>
      <c r="E217" t="s">
        <v>421</v>
      </c>
      <c r="F217">
        <v>43894</v>
      </c>
      <c r="G217" t="s">
        <v>422</v>
      </c>
      <c r="H217">
        <v>2200019975</v>
      </c>
      <c r="I217">
        <v>978774</v>
      </c>
      <c r="J217" t="s">
        <v>423</v>
      </c>
      <c r="K217" t="s">
        <v>424</v>
      </c>
      <c r="L217" t="s">
        <v>425</v>
      </c>
      <c r="M217">
        <v>934771</v>
      </c>
      <c r="N217" t="s">
        <v>437</v>
      </c>
      <c r="O217">
        <v>1251</v>
      </c>
      <c r="P217" t="s">
        <v>213</v>
      </c>
      <c r="Q217">
        <v>22440640</v>
      </c>
      <c r="R217">
        <v>194556997</v>
      </c>
      <c r="S217">
        <v>37.145620000000001</v>
      </c>
      <c r="T217">
        <v>-93.429590000000005</v>
      </c>
      <c r="U217" t="s">
        <v>467</v>
      </c>
      <c r="V217">
        <v>2</v>
      </c>
      <c r="W217" t="s">
        <v>213</v>
      </c>
      <c r="X217" t="s">
        <v>477</v>
      </c>
      <c r="Y217" t="s">
        <v>452</v>
      </c>
      <c r="Z217" t="s">
        <v>523</v>
      </c>
    </row>
    <row r="218" spans="1:26" x14ac:dyDescent="0.25">
      <c r="A218">
        <v>183</v>
      </c>
      <c r="B218" t="s">
        <v>419</v>
      </c>
      <c r="C218" t="s">
        <v>451</v>
      </c>
      <c r="D218">
        <v>5.0999999999999997E-2</v>
      </c>
      <c r="E218" t="s">
        <v>454</v>
      </c>
      <c r="F218">
        <v>43893</v>
      </c>
      <c r="G218" t="s">
        <v>422</v>
      </c>
      <c r="H218">
        <v>2200019449</v>
      </c>
      <c r="I218">
        <v>978774</v>
      </c>
      <c r="J218" t="s">
        <v>423</v>
      </c>
      <c r="K218" t="s">
        <v>424</v>
      </c>
      <c r="L218" t="s">
        <v>425</v>
      </c>
      <c r="M218">
        <v>934771</v>
      </c>
      <c r="N218" t="s">
        <v>441</v>
      </c>
      <c r="O218">
        <v>1146</v>
      </c>
      <c r="P218" t="s">
        <v>213</v>
      </c>
      <c r="Q218">
        <v>22435486</v>
      </c>
      <c r="R218">
        <v>194544675</v>
      </c>
      <c r="S218">
        <v>37.145560000000003</v>
      </c>
      <c r="T218">
        <v>-93.429630000000003</v>
      </c>
      <c r="U218" t="s">
        <v>467</v>
      </c>
      <c r="V218">
        <v>2</v>
      </c>
      <c r="W218" t="s">
        <v>213</v>
      </c>
      <c r="X218" t="s">
        <v>477</v>
      </c>
      <c r="Y218" t="s">
        <v>452</v>
      </c>
      <c r="Z218" t="s">
        <v>479</v>
      </c>
    </row>
    <row r="219" spans="1:26" x14ac:dyDescent="0.25">
      <c r="A219">
        <v>184</v>
      </c>
      <c r="B219" t="s">
        <v>419</v>
      </c>
      <c r="C219" t="s">
        <v>429</v>
      </c>
      <c r="D219">
        <v>75.593000000000004</v>
      </c>
      <c r="E219" t="s">
        <v>421</v>
      </c>
      <c r="F219">
        <v>43559</v>
      </c>
      <c r="G219" t="s">
        <v>422</v>
      </c>
      <c r="H219">
        <v>190024590</v>
      </c>
      <c r="I219">
        <v>532832</v>
      </c>
      <c r="J219" t="s">
        <v>423</v>
      </c>
      <c r="K219" t="s">
        <v>424</v>
      </c>
      <c r="L219" t="s">
        <v>425</v>
      </c>
      <c r="M219">
        <v>7782</v>
      </c>
      <c r="N219" t="s">
        <v>453</v>
      </c>
      <c r="O219">
        <v>1731</v>
      </c>
      <c r="P219" t="s">
        <v>213</v>
      </c>
      <c r="Q219">
        <v>26969504</v>
      </c>
      <c r="R219">
        <v>201969058</v>
      </c>
      <c r="S219">
        <v>37.145679999999999</v>
      </c>
      <c r="T219">
        <v>-93.428989999999999</v>
      </c>
      <c r="U219" t="s">
        <v>467</v>
      </c>
      <c r="V219">
        <v>2</v>
      </c>
      <c r="W219" t="s">
        <v>213</v>
      </c>
      <c r="X219" t="s">
        <v>477</v>
      </c>
      <c r="Y219" t="s">
        <v>427</v>
      </c>
      <c r="Z219" t="s">
        <v>499</v>
      </c>
    </row>
    <row r="220" spans="1:26" x14ac:dyDescent="0.25">
      <c r="A220">
        <v>185</v>
      </c>
      <c r="B220" t="s">
        <v>419</v>
      </c>
      <c r="C220" t="s">
        <v>435</v>
      </c>
      <c r="D220">
        <v>1.804</v>
      </c>
      <c r="E220" t="s">
        <v>421</v>
      </c>
      <c r="F220">
        <v>43571</v>
      </c>
      <c r="G220" t="s">
        <v>422</v>
      </c>
      <c r="H220">
        <v>190024593</v>
      </c>
      <c r="I220">
        <v>653786</v>
      </c>
      <c r="J220" t="s">
        <v>423</v>
      </c>
      <c r="K220" t="s">
        <v>424</v>
      </c>
      <c r="L220" t="s">
        <v>425</v>
      </c>
      <c r="M220">
        <v>2603</v>
      </c>
      <c r="N220" t="s">
        <v>441</v>
      </c>
      <c r="O220">
        <v>1825</v>
      </c>
      <c r="P220" t="s">
        <v>213</v>
      </c>
      <c r="Q220">
        <v>20816340</v>
      </c>
      <c r="R220">
        <v>191948983</v>
      </c>
      <c r="S220">
        <v>37.175060000000002</v>
      </c>
      <c r="T220">
        <v>-93.42501</v>
      </c>
      <c r="U220" t="s">
        <v>467</v>
      </c>
      <c r="V220">
        <v>2</v>
      </c>
      <c r="W220" t="s">
        <v>213</v>
      </c>
      <c r="X220" t="s">
        <v>485</v>
      </c>
      <c r="Y220" t="s">
        <v>436</v>
      </c>
      <c r="Z220" t="s">
        <v>516</v>
      </c>
    </row>
    <row r="221" spans="1:26" x14ac:dyDescent="0.25">
      <c r="A221">
        <v>186</v>
      </c>
      <c r="B221" t="s">
        <v>419</v>
      </c>
      <c r="C221" t="s">
        <v>435</v>
      </c>
      <c r="D221">
        <v>3.9359999999999999</v>
      </c>
      <c r="E221" t="s">
        <v>421</v>
      </c>
      <c r="F221">
        <v>43584</v>
      </c>
      <c r="G221" t="s">
        <v>422</v>
      </c>
      <c r="H221">
        <v>190024137</v>
      </c>
      <c r="I221">
        <v>532775</v>
      </c>
      <c r="J221" t="s">
        <v>423</v>
      </c>
      <c r="K221" t="s">
        <v>424</v>
      </c>
      <c r="L221" t="s">
        <v>497</v>
      </c>
      <c r="M221">
        <v>2603</v>
      </c>
      <c r="N221" t="s">
        <v>433</v>
      </c>
      <c r="O221">
        <v>1454</v>
      </c>
      <c r="P221" t="s">
        <v>213</v>
      </c>
      <c r="Q221">
        <v>20809885</v>
      </c>
      <c r="R221">
        <v>191937202</v>
      </c>
      <c r="S221">
        <v>37.145879999999998</v>
      </c>
      <c r="T221">
        <v>-93.429079999999999</v>
      </c>
      <c r="U221" t="s">
        <v>467</v>
      </c>
      <c r="V221">
        <v>2</v>
      </c>
      <c r="W221" t="s">
        <v>213</v>
      </c>
      <c r="X221" t="s">
        <v>477</v>
      </c>
      <c r="Y221" t="s">
        <v>436</v>
      </c>
      <c r="Z221" t="s">
        <v>479</v>
      </c>
    </row>
    <row r="222" spans="1:26" x14ac:dyDescent="0.25">
      <c r="A222">
        <v>187</v>
      </c>
      <c r="B222" t="s">
        <v>419</v>
      </c>
      <c r="C222" t="s">
        <v>429</v>
      </c>
      <c r="D222">
        <v>75.58</v>
      </c>
      <c r="E222" t="s">
        <v>454</v>
      </c>
      <c r="F222">
        <v>44198</v>
      </c>
      <c r="G222" t="s">
        <v>422</v>
      </c>
      <c r="H222">
        <v>2210000867</v>
      </c>
      <c r="I222">
        <v>978769</v>
      </c>
      <c r="J222" t="s">
        <v>438</v>
      </c>
      <c r="K222" t="s">
        <v>481</v>
      </c>
      <c r="L222" t="s">
        <v>481</v>
      </c>
      <c r="M222">
        <v>7782</v>
      </c>
      <c r="N222" t="s">
        <v>432</v>
      </c>
      <c r="O222">
        <v>1821</v>
      </c>
      <c r="P222" t="s">
        <v>213</v>
      </c>
      <c r="Q222">
        <v>27715346</v>
      </c>
      <c r="R222">
        <v>203603797</v>
      </c>
      <c r="S222">
        <v>37.145580000000002</v>
      </c>
      <c r="T222">
        <v>-93.429190000000006</v>
      </c>
      <c r="U222" t="s">
        <v>467</v>
      </c>
      <c r="V222">
        <v>2</v>
      </c>
      <c r="W222" t="s">
        <v>213</v>
      </c>
      <c r="X222" t="s">
        <v>477</v>
      </c>
      <c r="Y222" t="s">
        <v>427</v>
      </c>
      <c r="Z222" t="s">
        <v>478</v>
      </c>
    </row>
    <row r="223" spans="1:26" x14ac:dyDescent="0.25">
      <c r="A223">
        <v>188</v>
      </c>
      <c r="B223" t="s">
        <v>419</v>
      </c>
      <c r="C223" t="s">
        <v>420</v>
      </c>
      <c r="D223">
        <v>265.06599999999997</v>
      </c>
      <c r="E223" t="s">
        <v>447</v>
      </c>
      <c r="F223">
        <v>44247</v>
      </c>
      <c r="G223" t="s">
        <v>422</v>
      </c>
      <c r="H223">
        <v>2210014767</v>
      </c>
      <c r="I223">
        <v>532775</v>
      </c>
      <c r="J223" t="s">
        <v>444</v>
      </c>
      <c r="K223" t="s">
        <v>424</v>
      </c>
      <c r="L223" t="s">
        <v>425</v>
      </c>
      <c r="M223">
        <v>7783</v>
      </c>
      <c r="N223" t="s">
        <v>432</v>
      </c>
      <c r="O223">
        <v>142</v>
      </c>
      <c r="P223" t="s">
        <v>213</v>
      </c>
      <c r="Q223">
        <v>35527104</v>
      </c>
      <c r="R223">
        <v>214948275</v>
      </c>
      <c r="S223">
        <v>37.145910000000001</v>
      </c>
      <c r="T223">
        <v>-93.42895</v>
      </c>
      <c r="U223" t="s">
        <v>467</v>
      </c>
      <c r="V223">
        <v>1</v>
      </c>
      <c r="W223" t="s">
        <v>532</v>
      </c>
      <c r="X223" t="s">
        <v>477</v>
      </c>
      <c r="Y223" t="s">
        <v>427</v>
      </c>
      <c r="Z223" t="s">
        <v>480</v>
      </c>
    </row>
    <row r="224" spans="1:26" x14ac:dyDescent="0.25">
      <c r="A224">
        <v>189</v>
      </c>
      <c r="B224" t="s">
        <v>419</v>
      </c>
      <c r="C224" t="s">
        <v>435</v>
      </c>
      <c r="D224">
        <v>1.4850000000000001</v>
      </c>
      <c r="E224" t="s">
        <v>428</v>
      </c>
      <c r="F224">
        <v>44276</v>
      </c>
      <c r="G224" t="s">
        <v>520</v>
      </c>
      <c r="H224">
        <v>2210023044</v>
      </c>
      <c r="I224">
        <v>0</v>
      </c>
      <c r="J224" t="s">
        <v>423</v>
      </c>
      <c r="K224" t="s">
        <v>424</v>
      </c>
      <c r="L224" t="s">
        <v>425</v>
      </c>
      <c r="M224">
        <v>2603</v>
      </c>
      <c r="N224" t="s">
        <v>449</v>
      </c>
      <c r="O224">
        <v>824</v>
      </c>
      <c r="P224" t="s">
        <v>213</v>
      </c>
      <c r="Q224">
        <v>29231066</v>
      </c>
      <c r="R224">
        <v>205939213</v>
      </c>
      <c r="S224">
        <v>37.179580000000001</v>
      </c>
      <c r="T224">
        <v>-93.423810000000003</v>
      </c>
      <c r="U224" t="s">
        <v>467</v>
      </c>
      <c r="V224">
        <v>2</v>
      </c>
      <c r="W224" t="s">
        <v>213</v>
      </c>
      <c r="X224" t="s">
        <v>477</v>
      </c>
      <c r="Y224" t="s">
        <v>436</v>
      </c>
      <c r="Z224" t="s">
        <v>522</v>
      </c>
    </row>
    <row r="225" spans="1:26" x14ac:dyDescent="0.25">
      <c r="A225">
        <v>190</v>
      </c>
      <c r="B225" t="s">
        <v>419</v>
      </c>
      <c r="C225" t="s">
        <v>435</v>
      </c>
      <c r="D225">
        <v>3.8319999999999999</v>
      </c>
      <c r="E225" t="s">
        <v>533</v>
      </c>
      <c r="F225">
        <v>44254</v>
      </c>
      <c r="G225" t="s">
        <v>422</v>
      </c>
      <c r="H225">
        <v>3210005788</v>
      </c>
      <c r="I225">
        <v>532386</v>
      </c>
      <c r="J225" t="s">
        <v>423</v>
      </c>
      <c r="K225" t="s">
        <v>439</v>
      </c>
      <c r="L225" t="s">
        <v>440</v>
      </c>
      <c r="M225">
        <v>2603</v>
      </c>
      <c r="N225" t="s">
        <v>432</v>
      </c>
      <c r="O225">
        <v>812</v>
      </c>
      <c r="P225" t="s">
        <v>213</v>
      </c>
      <c r="Q225">
        <v>28010608</v>
      </c>
      <c r="R225">
        <v>204301664</v>
      </c>
      <c r="S225">
        <v>37.147120000000001</v>
      </c>
      <c r="T225">
        <v>-93.430139999999994</v>
      </c>
      <c r="U225" t="s">
        <v>467</v>
      </c>
      <c r="V225">
        <v>2</v>
      </c>
      <c r="W225" t="s">
        <v>213</v>
      </c>
      <c r="X225" t="s">
        <v>477</v>
      </c>
      <c r="Y225" t="s">
        <v>436</v>
      </c>
      <c r="Z225" t="s">
        <v>524</v>
      </c>
    </row>
    <row r="226" spans="1:26" x14ac:dyDescent="0.25">
      <c r="A226">
        <v>191</v>
      </c>
      <c r="B226" t="s">
        <v>419</v>
      </c>
      <c r="C226" t="s">
        <v>420</v>
      </c>
      <c r="D226">
        <v>265.10399999999998</v>
      </c>
      <c r="E226" t="s">
        <v>421</v>
      </c>
      <c r="F226">
        <v>44289</v>
      </c>
      <c r="G226" t="s">
        <v>422</v>
      </c>
      <c r="H226">
        <v>2210029326</v>
      </c>
      <c r="I226">
        <v>978774</v>
      </c>
      <c r="J226" t="s">
        <v>423</v>
      </c>
      <c r="K226" t="s">
        <v>424</v>
      </c>
      <c r="L226" t="s">
        <v>425</v>
      </c>
      <c r="M226">
        <v>7783</v>
      </c>
      <c r="N226" t="s">
        <v>432</v>
      </c>
      <c r="O226">
        <v>1538</v>
      </c>
      <c r="P226" t="s">
        <v>213</v>
      </c>
      <c r="Q226">
        <v>35527838</v>
      </c>
      <c r="R226">
        <v>214950685</v>
      </c>
      <c r="S226">
        <v>37.145609999999998</v>
      </c>
      <c r="T226">
        <v>-93.42953</v>
      </c>
      <c r="U226" t="s">
        <v>467</v>
      </c>
      <c r="V226">
        <v>2</v>
      </c>
      <c r="W226" t="s">
        <v>213</v>
      </c>
      <c r="X226" t="s">
        <v>477</v>
      </c>
      <c r="Y226" t="s">
        <v>427</v>
      </c>
      <c r="Z226" t="s">
        <v>525</v>
      </c>
    </row>
    <row r="227" spans="1:26" x14ac:dyDescent="0.25">
      <c r="A227">
        <v>192</v>
      </c>
      <c r="B227" t="s">
        <v>419</v>
      </c>
      <c r="C227" t="s">
        <v>435</v>
      </c>
      <c r="D227">
        <v>2.7789999999999999</v>
      </c>
      <c r="E227" t="s">
        <v>447</v>
      </c>
      <c r="F227">
        <v>44223</v>
      </c>
      <c r="G227" t="s">
        <v>422</v>
      </c>
      <c r="H227">
        <v>2210011183</v>
      </c>
      <c r="I227">
        <v>0</v>
      </c>
      <c r="J227" t="s">
        <v>423</v>
      </c>
      <c r="K227" t="s">
        <v>481</v>
      </c>
      <c r="L227" t="s">
        <v>481</v>
      </c>
      <c r="M227">
        <v>2603</v>
      </c>
      <c r="N227" t="s">
        <v>437</v>
      </c>
      <c r="O227">
        <v>921</v>
      </c>
      <c r="P227" t="s">
        <v>213</v>
      </c>
      <c r="Q227">
        <v>29151349</v>
      </c>
      <c r="R227">
        <v>205771799</v>
      </c>
      <c r="S227">
        <v>37.16113</v>
      </c>
      <c r="T227">
        <v>-93.424300000000002</v>
      </c>
      <c r="U227" t="s">
        <v>467</v>
      </c>
      <c r="V227">
        <v>1</v>
      </c>
      <c r="W227" t="s">
        <v>213</v>
      </c>
      <c r="X227" t="s">
        <v>477</v>
      </c>
      <c r="Y227" t="s">
        <v>436</v>
      </c>
      <c r="Z227" t="s">
        <v>507</v>
      </c>
    </row>
    <row r="228" spans="1:26" x14ac:dyDescent="0.25">
      <c r="A228">
        <v>193</v>
      </c>
      <c r="B228" t="s">
        <v>419</v>
      </c>
      <c r="C228" t="s">
        <v>429</v>
      </c>
      <c r="D228">
        <v>75.584999999999994</v>
      </c>
      <c r="E228" t="s">
        <v>421</v>
      </c>
      <c r="F228">
        <v>44256</v>
      </c>
      <c r="G228" t="s">
        <v>442</v>
      </c>
      <c r="H228">
        <v>2210020212</v>
      </c>
      <c r="I228">
        <v>978769</v>
      </c>
      <c r="J228" t="s">
        <v>423</v>
      </c>
      <c r="K228" t="s">
        <v>424</v>
      </c>
      <c r="L228" t="s">
        <v>425</v>
      </c>
      <c r="M228">
        <v>7782</v>
      </c>
      <c r="N228" t="s">
        <v>433</v>
      </c>
      <c r="O228">
        <v>1530</v>
      </c>
      <c r="P228" t="s">
        <v>213</v>
      </c>
      <c r="Q228">
        <v>29326380</v>
      </c>
      <c r="R228">
        <v>206143332</v>
      </c>
      <c r="S228">
        <v>37.145620000000001</v>
      </c>
      <c r="T228">
        <v>-93.429109999999994</v>
      </c>
      <c r="U228" t="s">
        <v>467</v>
      </c>
      <c r="V228">
        <v>2</v>
      </c>
      <c r="W228" t="s">
        <v>213</v>
      </c>
      <c r="X228" t="s">
        <v>477</v>
      </c>
      <c r="Y228" t="s">
        <v>427</v>
      </c>
      <c r="Z228" t="s">
        <v>478</v>
      </c>
    </row>
    <row r="229" spans="1:26" x14ac:dyDescent="0.25">
      <c r="A229">
        <v>194</v>
      </c>
      <c r="B229" t="s">
        <v>419</v>
      </c>
      <c r="C229" t="s">
        <v>435</v>
      </c>
      <c r="D229">
        <v>2.0499999999999998</v>
      </c>
      <c r="E229" t="s">
        <v>468</v>
      </c>
      <c r="F229">
        <v>44126</v>
      </c>
      <c r="G229" t="s">
        <v>422</v>
      </c>
      <c r="H229">
        <v>2200086944</v>
      </c>
      <c r="I229">
        <v>936967</v>
      </c>
      <c r="J229" t="s">
        <v>423</v>
      </c>
      <c r="K229" t="s">
        <v>424</v>
      </c>
      <c r="L229" t="s">
        <v>425</v>
      </c>
      <c r="M229">
        <v>2603</v>
      </c>
      <c r="N229" t="s">
        <v>453</v>
      </c>
      <c r="O229">
        <v>1729</v>
      </c>
      <c r="P229" t="s">
        <v>213</v>
      </c>
      <c r="Q229">
        <v>27090561</v>
      </c>
      <c r="R229">
        <v>202207886</v>
      </c>
      <c r="S229">
        <v>37.171619999999997</v>
      </c>
      <c r="T229">
        <v>-93.424719999999994</v>
      </c>
      <c r="U229" t="s">
        <v>467</v>
      </c>
      <c r="V229">
        <v>1</v>
      </c>
      <c r="W229" t="s">
        <v>213</v>
      </c>
      <c r="X229" t="s">
        <v>477</v>
      </c>
      <c r="Y229" t="s">
        <v>436</v>
      </c>
      <c r="Z229" t="s">
        <v>534</v>
      </c>
    </row>
    <row r="230" spans="1:26" x14ac:dyDescent="0.25">
      <c r="A230">
        <v>195</v>
      </c>
      <c r="B230" t="s">
        <v>419</v>
      </c>
      <c r="C230" t="s">
        <v>435</v>
      </c>
      <c r="D230">
        <v>3.8380000000000001</v>
      </c>
      <c r="E230" t="s">
        <v>443</v>
      </c>
      <c r="F230">
        <v>44097</v>
      </c>
      <c r="G230" t="s">
        <v>422</v>
      </c>
      <c r="H230">
        <v>2200073164</v>
      </c>
      <c r="I230">
        <v>532386</v>
      </c>
      <c r="J230" t="s">
        <v>423</v>
      </c>
      <c r="K230" t="s">
        <v>424</v>
      </c>
      <c r="L230" t="s">
        <v>425</v>
      </c>
      <c r="M230">
        <v>2603</v>
      </c>
      <c r="N230" t="s">
        <v>437</v>
      </c>
      <c r="O230">
        <v>1527</v>
      </c>
      <c r="P230" t="s">
        <v>434</v>
      </c>
      <c r="Q230">
        <v>25788829</v>
      </c>
      <c r="R230">
        <v>200219861</v>
      </c>
      <c r="S230">
        <v>37.14705</v>
      </c>
      <c r="T230">
        <v>-93.430070000000001</v>
      </c>
      <c r="U230" t="s">
        <v>467</v>
      </c>
      <c r="V230">
        <v>1</v>
      </c>
      <c r="W230" t="s">
        <v>434</v>
      </c>
      <c r="X230" t="s">
        <v>477</v>
      </c>
      <c r="Y230" t="s">
        <v>436</v>
      </c>
      <c r="Z230" t="s">
        <v>524</v>
      </c>
    </row>
    <row r="231" spans="1:26" x14ac:dyDescent="0.25">
      <c r="A231">
        <v>196</v>
      </c>
      <c r="B231" t="s">
        <v>419</v>
      </c>
      <c r="C231" t="s">
        <v>435</v>
      </c>
      <c r="D231">
        <v>1.6379999999999999</v>
      </c>
      <c r="E231" t="s">
        <v>421</v>
      </c>
      <c r="F231">
        <v>44173</v>
      </c>
      <c r="G231" t="s">
        <v>422</v>
      </c>
      <c r="H231">
        <v>2200094803</v>
      </c>
      <c r="I231">
        <v>0</v>
      </c>
      <c r="J231" t="s">
        <v>444</v>
      </c>
      <c r="K231" t="s">
        <v>424</v>
      </c>
      <c r="L231" t="s">
        <v>425</v>
      </c>
      <c r="M231">
        <v>2603</v>
      </c>
      <c r="N231" t="s">
        <v>441</v>
      </c>
      <c r="O231">
        <v>458</v>
      </c>
      <c r="P231" t="s">
        <v>213</v>
      </c>
      <c r="Q231">
        <v>27079016</v>
      </c>
      <c r="R231">
        <v>202174302</v>
      </c>
      <c r="S231">
        <v>37.177390000000003</v>
      </c>
      <c r="T231">
        <v>-93.424160000000001</v>
      </c>
      <c r="U231" t="s">
        <v>467</v>
      </c>
      <c r="V231">
        <v>2</v>
      </c>
      <c r="W231" t="s">
        <v>213</v>
      </c>
      <c r="X231" t="s">
        <v>477</v>
      </c>
      <c r="Y231" t="s">
        <v>436</v>
      </c>
      <c r="Z231" t="s">
        <v>535</v>
      </c>
    </row>
    <row r="232" spans="1:26" x14ac:dyDescent="0.25">
      <c r="A232">
        <v>197</v>
      </c>
      <c r="B232" t="s">
        <v>419</v>
      </c>
      <c r="C232" t="s">
        <v>435</v>
      </c>
      <c r="D232">
        <v>2.6080000000000001</v>
      </c>
      <c r="E232" t="s">
        <v>447</v>
      </c>
      <c r="F232">
        <v>44028</v>
      </c>
      <c r="G232" t="s">
        <v>422</v>
      </c>
      <c r="H232">
        <v>2200055573</v>
      </c>
      <c r="I232">
        <v>0</v>
      </c>
      <c r="J232" t="s">
        <v>423</v>
      </c>
      <c r="K232" t="s">
        <v>424</v>
      </c>
      <c r="L232" t="s">
        <v>425</v>
      </c>
      <c r="M232">
        <v>2603</v>
      </c>
      <c r="N232" t="s">
        <v>453</v>
      </c>
      <c r="O232">
        <v>1853</v>
      </c>
      <c r="P232" t="s">
        <v>434</v>
      </c>
      <c r="Q232">
        <v>23803616</v>
      </c>
      <c r="R232">
        <v>196568819</v>
      </c>
      <c r="S232">
        <v>37.163609999999998</v>
      </c>
      <c r="T232">
        <v>-93.424239999999998</v>
      </c>
      <c r="U232" t="s">
        <v>467</v>
      </c>
      <c r="V232">
        <v>1</v>
      </c>
      <c r="W232" t="s">
        <v>529</v>
      </c>
      <c r="X232" t="s">
        <v>477</v>
      </c>
      <c r="Y232" t="s">
        <v>436</v>
      </c>
      <c r="Z232" t="s">
        <v>503</v>
      </c>
    </row>
    <row r="233" spans="1:26" x14ac:dyDescent="0.25">
      <c r="A233">
        <v>198</v>
      </c>
      <c r="B233" t="s">
        <v>419</v>
      </c>
      <c r="C233" t="s">
        <v>435</v>
      </c>
      <c r="D233">
        <v>3.51</v>
      </c>
      <c r="E233" t="s">
        <v>454</v>
      </c>
      <c r="F233">
        <v>44126</v>
      </c>
      <c r="G233" t="s">
        <v>422</v>
      </c>
      <c r="H233">
        <v>2200086943</v>
      </c>
      <c r="I233">
        <v>0</v>
      </c>
      <c r="J233" t="s">
        <v>423</v>
      </c>
      <c r="K233" t="s">
        <v>424</v>
      </c>
      <c r="L233" t="s">
        <v>425</v>
      </c>
      <c r="M233">
        <v>2603</v>
      </c>
      <c r="N233" t="s">
        <v>453</v>
      </c>
      <c r="O233">
        <v>1649</v>
      </c>
      <c r="P233" t="s">
        <v>213</v>
      </c>
      <c r="Q233">
        <v>27090559</v>
      </c>
      <c r="R233">
        <v>202207883</v>
      </c>
      <c r="S233">
        <v>37.151090000000003</v>
      </c>
      <c r="T233">
        <v>-93.427220000000005</v>
      </c>
      <c r="U233" t="s">
        <v>467</v>
      </c>
      <c r="V233">
        <v>2</v>
      </c>
      <c r="W233" t="s">
        <v>213</v>
      </c>
      <c r="X233" t="s">
        <v>477</v>
      </c>
      <c r="Y233" t="s">
        <v>436</v>
      </c>
      <c r="Z233" t="s">
        <v>492</v>
      </c>
    </row>
    <row r="234" spans="1:26" x14ac:dyDescent="0.25">
      <c r="A234">
        <v>199</v>
      </c>
      <c r="B234" t="s">
        <v>419</v>
      </c>
      <c r="C234" t="s">
        <v>429</v>
      </c>
      <c r="D234">
        <v>75.575999999999993</v>
      </c>
      <c r="E234" t="s">
        <v>421</v>
      </c>
      <c r="F234">
        <v>44104</v>
      </c>
      <c r="G234" t="s">
        <v>422</v>
      </c>
      <c r="H234">
        <v>2200073857</v>
      </c>
      <c r="I234">
        <v>978769</v>
      </c>
      <c r="J234" t="s">
        <v>423</v>
      </c>
      <c r="K234" t="s">
        <v>424</v>
      </c>
      <c r="L234" t="s">
        <v>425</v>
      </c>
      <c r="M234">
        <v>7782</v>
      </c>
      <c r="N234" t="s">
        <v>437</v>
      </c>
      <c r="O234">
        <v>1443</v>
      </c>
      <c r="P234" t="s">
        <v>213</v>
      </c>
      <c r="Q234">
        <v>26985163</v>
      </c>
      <c r="R234">
        <v>202024119</v>
      </c>
      <c r="S234">
        <v>37.14555</v>
      </c>
      <c r="T234">
        <v>-93.429249999999996</v>
      </c>
      <c r="U234" t="s">
        <v>467</v>
      </c>
      <c r="V234">
        <v>2</v>
      </c>
      <c r="W234" t="s">
        <v>213</v>
      </c>
      <c r="X234" t="s">
        <v>477</v>
      </c>
      <c r="Y234" t="s">
        <v>427</v>
      </c>
      <c r="Z234" t="s">
        <v>536</v>
      </c>
    </row>
    <row r="235" spans="1:26" x14ac:dyDescent="0.25">
      <c r="A235">
        <v>200</v>
      </c>
      <c r="B235" t="s">
        <v>419</v>
      </c>
      <c r="C235" t="s">
        <v>435</v>
      </c>
      <c r="D235">
        <v>2.831</v>
      </c>
      <c r="E235" t="s">
        <v>421</v>
      </c>
      <c r="F235">
        <v>44120</v>
      </c>
      <c r="G235" t="s">
        <v>422</v>
      </c>
      <c r="H235">
        <v>2200085513</v>
      </c>
      <c r="I235">
        <v>0</v>
      </c>
      <c r="J235" t="s">
        <v>423</v>
      </c>
      <c r="K235" t="s">
        <v>424</v>
      </c>
      <c r="L235" t="s">
        <v>425</v>
      </c>
      <c r="M235">
        <v>2603</v>
      </c>
      <c r="N235" t="s">
        <v>426</v>
      </c>
      <c r="O235">
        <v>1156</v>
      </c>
      <c r="P235" t="s">
        <v>213</v>
      </c>
      <c r="Q235">
        <v>27078729</v>
      </c>
      <c r="R235">
        <v>202173842</v>
      </c>
      <c r="S235">
        <v>37.160380000000004</v>
      </c>
      <c r="T235">
        <v>-93.424319999999994</v>
      </c>
      <c r="U235" t="s">
        <v>467</v>
      </c>
      <c r="V235">
        <v>2</v>
      </c>
      <c r="W235" t="s">
        <v>213</v>
      </c>
      <c r="X235" t="s">
        <v>477</v>
      </c>
      <c r="Y235" t="s">
        <v>436</v>
      </c>
      <c r="Z235" t="s">
        <v>507</v>
      </c>
    </row>
    <row r="236" spans="1:26" x14ac:dyDescent="0.25">
      <c r="A236">
        <v>201</v>
      </c>
      <c r="B236" t="s">
        <v>419</v>
      </c>
      <c r="C236" t="s">
        <v>420</v>
      </c>
      <c r="D236">
        <v>265.06200000000001</v>
      </c>
      <c r="E236" t="s">
        <v>421</v>
      </c>
      <c r="F236">
        <v>44169</v>
      </c>
      <c r="G236" t="s">
        <v>422</v>
      </c>
      <c r="H236">
        <v>2200092826</v>
      </c>
      <c r="I236">
        <v>532775</v>
      </c>
      <c r="J236" t="s">
        <v>423</v>
      </c>
      <c r="K236" t="s">
        <v>424</v>
      </c>
      <c r="L236" t="s">
        <v>425</v>
      </c>
      <c r="M236">
        <v>7783</v>
      </c>
      <c r="N236" t="s">
        <v>426</v>
      </c>
      <c r="O236">
        <v>1722</v>
      </c>
      <c r="P236" t="s">
        <v>213</v>
      </c>
      <c r="Q236">
        <v>35523220</v>
      </c>
      <c r="R236">
        <v>214936845</v>
      </c>
      <c r="S236">
        <v>37.145940000000003</v>
      </c>
      <c r="T236">
        <v>-93.428889999999996</v>
      </c>
      <c r="U236" t="s">
        <v>467</v>
      </c>
      <c r="V236">
        <v>2</v>
      </c>
      <c r="W236" t="s">
        <v>213</v>
      </c>
      <c r="X236" t="s">
        <v>477</v>
      </c>
      <c r="Y236" t="s">
        <v>427</v>
      </c>
      <c r="Z236" t="s">
        <v>478</v>
      </c>
    </row>
    <row r="237" spans="1:26" x14ac:dyDescent="0.25">
      <c r="A237">
        <v>202</v>
      </c>
      <c r="B237" t="s">
        <v>419</v>
      </c>
      <c r="C237" t="s">
        <v>462</v>
      </c>
      <c r="D237">
        <v>1.7000000000000001E-2</v>
      </c>
      <c r="E237" t="s">
        <v>421</v>
      </c>
      <c r="F237">
        <v>44075</v>
      </c>
      <c r="G237" t="s">
        <v>422</v>
      </c>
      <c r="H237">
        <v>2200068839</v>
      </c>
      <c r="I237">
        <v>532775</v>
      </c>
      <c r="J237" t="s">
        <v>423</v>
      </c>
      <c r="K237" t="s">
        <v>424</v>
      </c>
      <c r="L237" t="s">
        <v>425</v>
      </c>
      <c r="M237">
        <v>2611</v>
      </c>
      <c r="N237" t="s">
        <v>441</v>
      </c>
      <c r="O237">
        <v>1636</v>
      </c>
      <c r="P237" t="s">
        <v>213</v>
      </c>
      <c r="Q237">
        <v>25671222</v>
      </c>
      <c r="R237">
        <v>199544936</v>
      </c>
      <c r="S237">
        <v>37.14564</v>
      </c>
      <c r="T237">
        <v>-93.428910000000002</v>
      </c>
      <c r="U237" t="s">
        <v>467</v>
      </c>
      <c r="V237">
        <v>2</v>
      </c>
      <c r="W237" t="s">
        <v>213</v>
      </c>
      <c r="X237" t="s">
        <v>477</v>
      </c>
      <c r="Y237" t="s">
        <v>436</v>
      </c>
      <c r="Z237" t="s">
        <v>479</v>
      </c>
    </row>
    <row r="238" spans="1:26" x14ac:dyDescent="0.25">
      <c r="A238">
        <v>203</v>
      </c>
      <c r="B238" t="s">
        <v>419</v>
      </c>
      <c r="C238" t="s">
        <v>435</v>
      </c>
      <c r="D238">
        <v>3.8839999999999999</v>
      </c>
      <c r="E238" t="s">
        <v>428</v>
      </c>
      <c r="F238">
        <v>44154</v>
      </c>
      <c r="G238" t="s">
        <v>422</v>
      </c>
      <c r="H238">
        <v>2200089178</v>
      </c>
      <c r="I238">
        <v>978773</v>
      </c>
      <c r="J238" t="s">
        <v>423</v>
      </c>
      <c r="K238" t="s">
        <v>424</v>
      </c>
      <c r="L238" t="s">
        <v>425</v>
      </c>
      <c r="M238">
        <v>2603</v>
      </c>
      <c r="N238" t="s">
        <v>453</v>
      </c>
      <c r="O238">
        <v>736</v>
      </c>
      <c r="P238" t="s">
        <v>213</v>
      </c>
      <c r="Q238">
        <v>27259200</v>
      </c>
      <c r="R238">
        <v>202617307</v>
      </c>
      <c r="S238">
        <v>37.14649</v>
      </c>
      <c r="T238">
        <v>-93.42962</v>
      </c>
      <c r="U238" t="s">
        <v>467</v>
      </c>
      <c r="V238">
        <v>2</v>
      </c>
      <c r="W238" t="s">
        <v>213</v>
      </c>
      <c r="X238" t="s">
        <v>477</v>
      </c>
      <c r="Y238" t="s">
        <v>436</v>
      </c>
      <c r="Z238" t="s">
        <v>537</v>
      </c>
    </row>
    <row r="239" spans="1:26" x14ac:dyDescent="0.25">
      <c r="A239">
        <v>204</v>
      </c>
      <c r="B239" t="s">
        <v>419</v>
      </c>
      <c r="C239" t="s">
        <v>429</v>
      </c>
      <c r="D239">
        <v>75.561999999999998</v>
      </c>
      <c r="E239" t="s">
        <v>421</v>
      </c>
      <c r="F239">
        <v>44062</v>
      </c>
      <c r="G239" t="s">
        <v>422</v>
      </c>
      <c r="H239">
        <v>2200062540</v>
      </c>
      <c r="I239">
        <v>978769</v>
      </c>
      <c r="J239" t="s">
        <v>423</v>
      </c>
      <c r="K239" t="s">
        <v>424</v>
      </c>
      <c r="L239" t="s">
        <v>425</v>
      </c>
      <c r="M239">
        <v>7782</v>
      </c>
      <c r="N239" t="s">
        <v>437</v>
      </c>
      <c r="O239">
        <v>1223</v>
      </c>
      <c r="P239" t="s">
        <v>213</v>
      </c>
      <c r="Q239">
        <v>26984430</v>
      </c>
      <c r="R239">
        <v>202021469</v>
      </c>
      <c r="S239">
        <v>37.145440000000001</v>
      </c>
      <c r="T239">
        <v>-93.429460000000006</v>
      </c>
      <c r="U239" t="s">
        <v>467</v>
      </c>
      <c r="V239">
        <v>2</v>
      </c>
      <c r="W239" t="s">
        <v>213</v>
      </c>
      <c r="X239" t="s">
        <v>477</v>
      </c>
      <c r="Y239" t="s">
        <v>427</v>
      </c>
      <c r="Z239" t="s">
        <v>536</v>
      </c>
    </row>
    <row r="240" spans="1:26" x14ac:dyDescent="0.25">
      <c r="A240">
        <v>205</v>
      </c>
      <c r="B240" t="s">
        <v>419</v>
      </c>
      <c r="C240" t="s">
        <v>420</v>
      </c>
      <c r="D240">
        <v>265.03500000000003</v>
      </c>
      <c r="E240" t="s">
        <v>421</v>
      </c>
      <c r="F240">
        <v>44173</v>
      </c>
      <c r="G240" t="s">
        <v>422</v>
      </c>
      <c r="H240">
        <v>2200093568</v>
      </c>
      <c r="I240">
        <v>978772</v>
      </c>
      <c r="J240" t="s">
        <v>423</v>
      </c>
      <c r="K240" t="s">
        <v>424</v>
      </c>
      <c r="L240" t="s">
        <v>425</v>
      </c>
      <c r="M240">
        <v>7783</v>
      </c>
      <c r="N240" t="s">
        <v>441</v>
      </c>
      <c r="O240">
        <v>1651</v>
      </c>
      <c r="P240" t="s">
        <v>213</v>
      </c>
      <c r="Q240">
        <v>35523259</v>
      </c>
      <c r="R240">
        <v>214936993</v>
      </c>
      <c r="S240">
        <v>37.146160000000002</v>
      </c>
      <c r="T240">
        <v>-93.428479999999993</v>
      </c>
      <c r="U240" t="s">
        <v>467</v>
      </c>
      <c r="V240">
        <v>2</v>
      </c>
      <c r="W240" t="s">
        <v>213</v>
      </c>
      <c r="X240" t="s">
        <v>477</v>
      </c>
      <c r="Y240" t="s">
        <v>427</v>
      </c>
      <c r="Z240" t="s">
        <v>538</v>
      </c>
    </row>
    <row r="241" spans="1:26" x14ac:dyDescent="0.25">
      <c r="A241">
        <v>206</v>
      </c>
      <c r="B241" t="s">
        <v>419</v>
      </c>
      <c r="C241" t="s">
        <v>435</v>
      </c>
      <c r="D241">
        <v>1.8109999999999999</v>
      </c>
      <c r="E241" t="s">
        <v>539</v>
      </c>
      <c r="F241">
        <v>44101</v>
      </c>
      <c r="G241" t="s">
        <v>540</v>
      </c>
      <c r="H241">
        <v>2200099573</v>
      </c>
      <c r="I241">
        <v>653786</v>
      </c>
      <c r="J241" t="s">
        <v>444</v>
      </c>
      <c r="K241" t="s">
        <v>439</v>
      </c>
      <c r="L241" t="s">
        <v>448</v>
      </c>
      <c r="M241">
        <v>2603</v>
      </c>
      <c r="N241" t="s">
        <v>449</v>
      </c>
      <c r="O241">
        <v>2307</v>
      </c>
      <c r="P241" t="s">
        <v>213</v>
      </c>
      <c r="Q241">
        <v>27536474</v>
      </c>
      <c r="R241">
        <v>203177007</v>
      </c>
      <c r="S241">
        <v>37.174970000000002</v>
      </c>
      <c r="T241">
        <v>-93.425039999999996</v>
      </c>
      <c r="U241" t="s">
        <v>467</v>
      </c>
      <c r="V241">
        <v>1</v>
      </c>
      <c r="W241" t="s">
        <v>213</v>
      </c>
      <c r="X241" t="s">
        <v>485</v>
      </c>
      <c r="Y241" t="s">
        <v>436</v>
      </c>
      <c r="Z241" t="s">
        <v>504</v>
      </c>
    </row>
    <row r="242" spans="1:26" x14ac:dyDescent="0.25">
      <c r="A242">
        <v>207</v>
      </c>
      <c r="B242" t="s">
        <v>419</v>
      </c>
      <c r="C242" t="s">
        <v>435</v>
      </c>
      <c r="D242">
        <v>2.2200000000000002</v>
      </c>
      <c r="E242" t="s">
        <v>428</v>
      </c>
      <c r="F242">
        <v>44168</v>
      </c>
      <c r="G242" t="s">
        <v>442</v>
      </c>
      <c r="H242">
        <v>2200091932</v>
      </c>
      <c r="I242">
        <v>526664</v>
      </c>
      <c r="J242" t="s">
        <v>444</v>
      </c>
      <c r="K242" t="s">
        <v>439</v>
      </c>
      <c r="L242" t="s">
        <v>448</v>
      </c>
      <c r="M242">
        <v>2603</v>
      </c>
      <c r="N242" t="s">
        <v>453</v>
      </c>
      <c r="O242">
        <v>1709</v>
      </c>
      <c r="P242" t="s">
        <v>455</v>
      </c>
      <c r="Q242">
        <v>27298746</v>
      </c>
      <c r="R242">
        <v>202705844</v>
      </c>
      <c r="S242">
        <v>37.169240000000002</v>
      </c>
      <c r="T242">
        <v>-93.424090000000007</v>
      </c>
      <c r="U242" t="s">
        <v>467</v>
      </c>
      <c r="V242">
        <v>3</v>
      </c>
      <c r="W242" t="s">
        <v>461</v>
      </c>
      <c r="X242" t="s">
        <v>477</v>
      </c>
      <c r="Y242" t="s">
        <v>436</v>
      </c>
      <c r="Z242" t="s">
        <v>527</v>
      </c>
    </row>
    <row r="243" spans="1:26" x14ac:dyDescent="0.25">
      <c r="A243">
        <v>208</v>
      </c>
      <c r="B243" t="s">
        <v>419</v>
      </c>
      <c r="C243" t="s">
        <v>429</v>
      </c>
      <c r="D243">
        <v>75.594999999999999</v>
      </c>
      <c r="E243" t="s">
        <v>428</v>
      </c>
      <c r="F243">
        <v>44032</v>
      </c>
      <c r="G243" t="s">
        <v>520</v>
      </c>
      <c r="H243">
        <v>2200052166</v>
      </c>
      <c r="I243">
        <v>532832</v>
      </c>
      <c r="J243" t="s">
        <v>423</v>
      </c>
      <c r="K243" t="s">
        <v>424</v>
      </c>
      <c r="L243" t="s">
        <v>425</v>
      </c>
      <c r="M243">
        <v>7782</v>
      </c>
      <c r="N243" t="s">
        <v>433</v>
      </c>
      <c r="O243">
        <v>1402</v>
      </c>
      <c r="P243" t="s">
        <v>213</v>
      </c>
      <c r="Q243">
        <v>26983760</v>
      </c>
      <c r="R243">
        <v>202019017</v>
      </c>
      <c r="S243">
        <v>37.145699999999998</v>
      </c>
      <c r="T243">
        <v>-93.428960000000004</v>
      </c>
      <c r="U243" t="s">
        <v>467</v>
      </c>
      <c r="V243">
        <v>2</v>
      </c>
      <c r="W243" t="s">
        <v>213</v>
      </c>
      <c r="X243" t="s">
        <v>477</v>
      </c>
      <c r="Y243" t="s">
        <v>427</v>
      </c>
      <c r="Z243" t="s">
        <v>480</v>
      </c>
    </row>
    <row r="244" spans="1:26" x14ac:dyDescent="0.25">
      <c r="A244">
        <v>209</v>
      </c>
      <c r="B244" t="s">
        <v>419</v>
      </c>
      <c r="C244" t="s">
        <v>435</v>
      </c>
      <c r="D244">
        <v>1.6659999999999999</v>
      </c>
      <c r="E244" t="s">
        <v>430</v>
      </c>
      <c r="F244">
        <v>43903</v>
      </c>
      <c r="G244" t="s">
        <v>442</v>
      </c>
      <c r="H244">
        <v>2200023353</v>
      </c>
      <c r="I244">
        <v>653787</v>
      </c>
      <c r="J244" t="s">
        <v>444</v>
      </c>
      <c r="K244" t="s">
        <v>424</v>
      </c>
      <c r="L244" t="s">
        <v>425</v>
      </c>
      <c r="M244">
        <v>2603</v>
      </c>
      <c r="N244" t="s">
        <v>426</v>
      </c>
      <c r="O244">
        <v>415</v>
      </c>
      <c r="P244" t="s">
        <v>213</v>
      </c>
      <c r="Q244">
        <v>23452119</v>
      </c>
      <c r="R244">
        <v>195770749</v>
      </c>
      <c r="S244">
        <v>37.176990000000004</v>
      </c>
      <c r="T244">
        <v>-93.424300000000002</v>
      </c>
      <c r="U244" t="s">
        <v>467</v>
      </c>
      <c r="V244">
        <v>2</v>
      </c>
      <c r="W244" t="s">
        <v>213</v>
      </c>
      <c r="X244" t="s">
        <v>485</v>
      </c>
      <c r="Y244" t="s">
        <v>436</v>
      </c>
      <c r="Z244" t="s">
        <v>521</v>
      </c>
    </row>
    <row r="245" spans="1:26" x14ac:dyDescent="0.25">
      <c r="A245">
        <v>210</v>
      </c>
      <c r="B245" t="s">
        <v>419</v>
      </c>
      <c r="C245" t="s">
        <v>451</v>
      </c>
      <c r="D245">
        <v>2.5999999999999999E-2</v>
      </c>
      <c r="E245" t="s">
        <v>421</v>
      </c>
      <c r="F245">
        <v>43976</v>
      </c>
      <c r="G245" t="s">
        <v>422</v>
      </c>
      <c r="H245">
        <v>2200039067</v>
      </c>
      <c r="I245">
        <v>978774</v>
      </c>
      <c r="J245" t="s">
        <v>423</v>
      </c>
      <c r="K245" t="s">
        <v>424</v>
      </c>
      <c r="L245" t="s">
        <v>425</v>
      </c>
      <c r="M245">
        <v>934771</v>
      </c>
      <c r="N245" t="s">
        <v>433</v>
      </c>
      <c r="O245">
        <v>1936</v>
      </c>
      <c r="P245" t="s">
        <v>213</v>
      </c>
      <c r="Q245">
        <v>23628232</v>
      </c>
      <c r="R245">
        <v>196175790</v>
      </c>
      <c r="S245">
        <v>37.145890000000001</v>
      </c>
      <c r="T245">
        <v>-93.42944</v>
      </c>
      <c r="U245" t="s">
        <v>467</v>
      </c>
      <c r="V245">
        <v>2</v>
      </c>
      <c r="W245" t="s">
        <v>213</v>
      </c>
      <c r="X245" t="s">
        <v>477</v>
      </c>
      <c r="Y245" t="s">
        <v>452</v>
      </c>
      <c r="Z245" t="s">
        <v>479</v>
      </c>
    </row>
    <row r="246" spans="1:26" x14ac:dyDescent="0.25">
      <c r="A246">
        <v>211</v>
      </c>
      <c r="B246" t="s">
        <v>419</v>
      </c>
      <c r="C246" t="s">
        <v>429</v>
      </c>
      <c r="D246">
        <v>75.594999999999999</v>
      </c>
      <c r="E246" t="s">
        <v>428</v>
      </c>
      <c r="F246">
        <v>44205</v>
      </c>
      <c r="G246" t="s">
        <v>422</v>
      </c>
      <c r="H246">
        <v>2210002229</v>
      </c>
      <c r="I246">
        <v>532832</v>
      </c>
      <c r="J246" t="s">
        <v>438</v>
      </c>
      <c r="K246" t="s">
        <v>424</v>
      </c>
      <c r="L246" t="s">
        <v>425</v>
      </c>
      <c r="M246">
        <v>7782</v>
      </c>
      <c r="N246" t="s">
        <v>432</v>
      </c>
      <c r="O246">
        <v>656</v>
      </c>
      <c r="P246" t="s">
        <v>213</v>
      </c>
      <c r="Q246">
        <v>27899584</v>
      </c>
      <c r="R246">
        <v>204048164</v>
      </c>
      <c r="S246">
        <v>37.145699999999998</v>
      </c>
      <c r="T246">
        <v>-93.428960000000004</v>
      </c>
      <c r="U246" t="s">
        <v>467</v>
      </c>
      <c r="V246">
        <v>2</v>
      </c>
      <c r="W246" t="s">
        <v>213</v>
      </c>
      <c r="X246" t="s">
        <v>477</v>
      </c>
      <c r="Y246" t="s">
        <v>427</v>
      </c>
      <c r="Z246" t="s">
        <v>480</v>
      </c>
    </row>
    <row r="247" spans="1:26" x14ac:dyDescent="0.25">
      <c r="A247">
        <v>212</v>
      </c>
      <c r="B247" t="s">
        <v>419</v>
      </c>
      <c r="C247" t="s">
        <v>429</v>
      </c>
      <c r="D247">
        <v>75.569999999999993</v>
      </c>
      <c r="E247" t="s">
        <v>421</v>
      </c>
      <c r="F247">
        <v>44239</v>
      </c>
      <c r="G247" t="s">
        <v>422</v>
      </c>
      <c r="H247">
        <v>2210011852</v>
      </c>
      <c r="I247">
        <v>978769</v>
      </c>
      <c r="J247" t="s">
        <v>423</v>
      </c>
      <c r="K247" t="s">
        <v>481</v>
      </c>
      <c r="L247" t="s">
        <v>440</v>
      </c>
      <c r="M247">
        <v>7782</v>
      </c>
      <c r="N247" t="s">
        <v>426</v>
      </c>
      <c r="O247">
        <v>1427</v>
      </c>
      <c r="P247" t="s">
        <v>213</v>
      </c>
      <c r="Q247">
        <v>29213543</v>
      </c>
      <c r="R247">
        <v>205907552</v>
      </c>
      <c r="S247">
        <v>37.145499999999998</v>
      </c>
      <c r="T247">
        <v>-93.429339999999996</v>
      </c>
      <c r="U247" t="s">
        <v>467</v>
      </c>
      <c r="V247">
        <v>2</v>
      </c>
      <c r="W247" t="s">
        <v>213</v>
      </c>
      <c r="X247" t="s">
        <v>477</v>
      </c>
      <c r="Y247" t="s">
        <v>427</v>
      </c>
      <c r="Z247" t="s">
        <v>536</v>
      </c>
    </row>
    <row r="248" spans="1:26" x14ac:dyDescent="0.25">
      <c r="A248">
        <v>213</v>
      </c>
      <c r="B248" t="s">
        <v>419</v>
      </c>
      <c r="C248" t="s">
        <v>420</v>
      </c>
      <c r="D248">
        <v>265.05900000000003</v>
      </c>
      <c r="E248" t="s">
        <v>421</v>
      </c>
      <c r="F248">
        <v>44292</v>
      </c>
      <c r="G248" t="s">
        <v>422</v>
      </c>
      <c r="H248">
        <v>2210029878</v>
      </c>
      <c r="I248">
        <v>978772</v>
      </c>
      <c r="J248" t="s">
        <v>423</v>
      </c>
      <c r="K248" t="s">
        <v>424</v>
      </c>
      <c r="L248" t="s">
        <v>425</v>
      </c>
      <c r="M248">
        <v>7783</v>
      </c>
      <c r="N248" t="s">
        <v>441</v>
      </c>
      <c r="O248">
        <v>1600</v>
      </c>
      <c r="P248" t="s">
        <v>213</v>
      </c>
      <c r="Q248">
        <v>35527860</v>
      </c>
      <c r="R248">
        <v>214950749</v>
      </c>
      <c r="S248">
        <v>37.145969999999998</v>
      </c>
      <c r="T248">
        <v>-93.428849999999997</v>
      </c>
      <c r="U248" t="s">
        <v>467</v>
      </c>
      <c r="V248">
        <v>2</v>
      </c>
      <c r="W248" t="s">
        <v>213</v>
      </c>
      <c r="X248" t="s">
        <v>477</v>
      </c>
      <c r="Y248" t="s">
        <v>427</v>
      </c>
      <c r="Z248" t="s">
        <v>480</v>
      </c>
    </row>
    <row r="249" spans="1:26" x14ac:dyDescent="0.25">
      <c r="A249">
        <v>214</v>
      </c>
      <c r="B249" t="s">
        <v>419</v>
      </c>
      <c r="C249" t="s">
        <v>435</v>
      </c>
      <c r="D249">
        <v>0.46800000000000003</v>
      </c>
      <c r="E249" t="s">
        <v>447</v>
      </c>
      <c r="F249">
        <v>44066</v>
      </c>
      <c r="G249" t="s">
        <v>442</v>
      </c>
      <c r="H249">
        <v>2200063829</v>
      </c>
      <c r="I249">
        <v>0</v>
      </c>
      <c r="J249" t="s">
        <v>444</v>
      </c>
      <c r="K249" t="s">
        <v>424</v>
      </c>
      <c r="L249" t="s">
        <v>425</v>
      </c>
      <c r="M249">
        <v>2603</v>
      </c>
      <c r="N249" t="s">
        <v>449</v>
      </c>
      <c r="O249">
        <v>2021</v>
      </c>
      <c r="P249" t="s">
        <v>434</v>
      </c>
      <c r="Q249">
        <v>25614451</v>
      </c>
      <c r="R249">
        <v>199428439</v>
      </c>
      <c r="S249">
        <v>37.194319999999998</v>
      </c>
      <c r="T249">
        <v>-93.423259999999999</v>
      </c>
      <c r="U249" t="s">
        <v>467</v>
      </c>
      <c r="V249">
        <v>1</v>
      </c>
      <c r="W249" t="s">
        <v>541</v>
      </c>
      <c r="X249" t="s">
        <v>477</v>
      </c>
      <c r="Y249" t="s">
        <v>436</v>
      </c>
      <c r="Z249" t="s">
        <v>489</v>
      </c>
    </row>
    <row r="250" spans="1:26" x14ac:dyDescent="0.25">
      <c r="A250">
        <v>215</v>
      </c>
      <c r="B250" t="s">
        <v>419</v>
      </c>
      <c r="C250" t="s">
        <v>435</v>
      </c>
      <c r="D250">
        <v>1.0580000000000001</v>
      </c>
      <c r="E250" t="s">
        <v>421</v>
      </c>
      <c r="F250">
        <v>44193</v>
      </c>
      <c r="G250" t="s">
        <v>422</v>
      </c>
      <c r="H250">
        <v>2200099214</v>
      </c>
      <c r="I250">
        <v>0</v>
      </c>
      <c r="J250" t="s">
        <v>423</v>
      </c>
      <c r="K250" t="s">
        <v>424</v>
      </c>
      <c r="L250" t="s">
        <v>425</v>
      </c>
      <c r="M250">
        <v>2603</v>
      </c>
      <c r="N250" t="s">
        <v>433</v>
      </c>
      <c r="O250">
        <v>1016</v>
      </c>
      <c r="P250" t="s">
        <v>213</v>
      </c>
      <c r="Q250">
        <v>27546384</v>
      </c>
      <c r="R250">
        <v>203198691</v>
      </c>
      <c r="S250">
        <v>37.185769999999998</v>
      </c>
      <c r="T250">
        <v>-93.423599999999993</v>
      </c>
      <c r="U250" t="s">
        <v>467</v>
      </c>
      <c r="V250">
        <v>2</v>
      </c>
      <c r="W250" t="s">
        <v>457</v>
      </c>
      <c r="X250" t="s">
        <v>477</v>
      </c>
      <c r="Y250" t="s">
        <v>436</v>
      </c>
      <c r="Z250" t="s">
        <v>483</v>
      </c>
    </row>
    <row r="251" spans="1:26" x14ac:dyDescent="0.25">
      <c r="A251">
        <v>216</v>
      </c>
      <c r="B251" t="s">
        <v>419</v>
      </c>
      <c r="C251" t="s">
        <v>435</v>
      </c>
      <c r="D251">
        <v>2.7410000000000001</v>
      </c>
      <c r="E251" t="s">
        <v>421</v>
      </c>
      <c r="F251">
        <v>44263</v>
      </c>
      <c r="G251" t="s">
        <v>422</v>
      </c>
      <c r="H251">
        <v>2210018537</v>
      </c>
      <c r="I251">
        <v>528495</v>
      </c>
      <c r="J251" t="s">
        <v>423</v>
      </c>
      <c r="K251" t="s">
        <v>424</v>
      </c>
      <c r="L251" t="s">
        <v>425</v>
      </c>
      <c r="M251">
        <v>2603</v>
      </c>
      <c r="N251" t="s">
        <v>433</v>
      </c>
      <c r="O251">
        <v>757</v>
      </c>
      <c r="P251" t="s">
        <v>434</v>
      </c>
      <c r="Q251">
        <v>29198354</v>
      </c>
      <c r="R251">
        <v>205872177</v>
      </c>
      <c r="S251">
        <v>37.161679999999997</v>
      </c>
      <c r="T251">
        <v>-93.424279999999996</v>
      </c>
      <c r="U251" t="s">
        <v>467</v>
      </c>
      <c r="V251">
        <v>3</v>
      </c>
      <c r="W251" t="s">
        <v>213</v>
      </c>
      <c r="X251" t="s">
        <v>477</v>
      </c>
      <c r="Y251" t="s">
        <v>436</v>
      </c>
      <c r="Z251" t="s">
        <v>507</v>
      </c>
    </row>
    <row r="252" spans="1:26" x14ac:dyDescent="0.25">
      <c r="A252">
        <v>217</v>
      </c>
      <c r="B252" t="s">
        <v>419</v>
      </c>
      <c r="C252" t="s">
        <v>451</v>
      </c>
      <c r="D252">
        <v>0.04</v>
      </c>
      <c r="E252" t="s">
        <v>421</v>
      </c>
      <c r="F252">
        <v>44270</v>
      </c>
      <c r="G252" t="s">
        <v>422</v>
      </c>
      <c r="H252">
        <v>2210020216</v>
      </c>
      <c r="I252">
        <v>978774</v>
      </c>
      <c r="J252" t="s">
        <v>423</v>
      </c>
      <c r="K252" t="s">
        <v>424</v>
      </c>
      <c r="L252" t="s">
        <v>425</v>
      </c>
      <c r="M252">
        <v>934771</v>
      </c>
      <c r="N252" t="s">
        <v>433</v>
      </c>
      <c r="O252">
        <v>1128</v>
      </c>
      <c r="P252" t="s">
        <v>213</v>
      </c>
      <c r="Q252">
        <v>29303122</v>
      </c>
      <c r="R252">
        <v>206087509</v>
      </c>
      <c r="S252">
        <v>37.145699999999998</v>
      </c>
      <c r="T252">
        <v>-93.429550000000006</v>
      </c>
      <c r="U252" t="s">
        <v>467</v>
      </c>
      <c r="V252">
        <v>2</v>
      </c>
      <c r="W252" t="s">
        <v>213</v>
      </c>
      <c r="X252" t="s">
        <v>477</v>
      </c>
      <c r="Y252" t="s">
        <v>452</v>
      </c>
      <c r="Z252" t="s">
        <v>479</v>
      </c>
    </row>
    <row r="253" spans="1:26" x14ac:dyDescent="0.25">
      <c r="A253">
        <v>218</v>
      </c>
      <c r="B253" t="s">
        <v>419</v>
      </c>
      <c r="C253" t="s">
        <v>435</v>
      </c>
      <c r="D253">
        <v>3.83</v>
      </c>
      <c r="E253" t="s">
        <v>447</v>
      </c>
      <c r="F253">
        <v>44149</v>
      </c>
      <c r="G253" t="s">
        <v>442</v>
      </c>
      <c r="H253">
        <v>2200091682</v>
      </c>
      <c r="I253">
        <v>532386</v>
      </c>
      <c r="J253" t="s">
        <v>438</v>
      </c>
      <c r="K253" t="s">
        <v>439</v>
      </c>
      <c r="L253" t="s">
        <v>448</v>
      </c>
      <c r="M253">
        <v>2603</v>
      </c>
      <c r="N253" t="s">
        <v>432</v>
      </c>
      <c r="O253">
        <v>15</v>
      </c>
      <c r="P253" t="s">
        <v>434</v>
      </c>
      <c r="Q253">
        <v>27265248</v>
      </c>
      <c r="R253">
        <v>202630997</v>
      </c>
      <c r="S253">
        <v>37.14714</v>
      </c>
      <c r="T253">
        <v>-93.430160000000001</v>
      </c>
      <c r="U253" t="s">
        <v>467</v>
      </c>
      <c r="V253">
        <v>1</v>
      </c>
      <c r="W253" t="s">
        <v>542</v>
      </c>
      <c r="X253" t="s">
        <v>477</v>
      </c>
      <c r="Y253" t="s">
        <v>436</v>
      </c>
      <c r="Z253" t="s">
        <v>524</v>
      </c>
    </row>
    <row r="254" spans="1:26" x14ac:dyDescent="0.25">
      <c r="A254">
        <v>219</v>
      </c>
      <c r="B254" t="s">
        <v>419</v>
      </c>
      <c r="C254" t="s">
        <v>420</v>
      </c>
      <c r="D254">
        <v>265.02800000000002</v>
      </c>
      <c r="E254" t="s">
        <v>421</v>
      </c>
      <c r="F254">
        <v>44178</v>
      </c>
      <c r="G254" t="s">
        <v>422</v>
      </c>
      <c r="H254">
        <v>2200094958</v>
      </c>
      <c r="I254">
        <v>978772</v>
      </c>
      <c r="J254" t="s">
        <v>423</v>
      </c>
      <c r="K254" t="s">
        <v>439</v>
      </c>
      <c r="L254" t="s">
        <v>440</v>
      </c>
      <c r="M254">
        <v>7783</v>
      </c>
      <c r="N254" t="s">
        <v>449</v>
      </c>
      <c r="O254">
        <v>1255</v>
      </c>
      <c r="P254" t="s">
        <v>213</v>
      </c>
      <c r="Q254">
        <v>35523338</v>
      </c>
      <c r="R254">
        <v>214937262</v>
      </c>
      <c r="S254">
        <v>37.146210000000004</v>
      </c>
      <c r="T254">
        <v>-93.428380000000004</v>
      </c>
      <c r="U254" t="s">
        <v>467</v>
      </c>
      <c r="V254">
        <v>2</v>
      </c>
      <c r="W254" t="s">
        <v>213</v>
      </c>
      <c r="X254" t="s">
        <v>477</v>
      </c>
      <c r="Y254" t="s">
        <v>427</v>
      </c>
      <c r="Z254" t="s">
        <v>538</v>
      </c>
    </row>
    <row r="255" spans="1:26" x14ac:dyDescent="0.25">
      <c r="A255">
        <v>220</v>
      </c>
      <c r="B255" t="s">
        <v>419</v>
      </c>
      <c r="C255" t="s">
        <v>420</v>
      </c>
      <c r="D255">
        <v>265.06900000000002</v>
      </c>
      <c r="E255" t="s">
        <v>421</v>
      </c>
      <c r="F255">
        <v>44191</v>
      </c>
      <c r="G255" t="s">
        <v>442</v>
      </c>
      <c r="H255">
        <v>2200098820</v>
      </c>
      <c r="I255">
        <v>532775</v>
      </c>
      <c r="J255" t="s">
        <v>423</v>
      </c>
      <c r="K255" t="s">
        <v>424</v>
      </c>
      <c r="L255" t="s">
        <v>425</v>
      </c>
      <c r="M255">
        <v>7783</v>
      </c>
      <c r="N255" t="s">
        <v>432</v>
      </c>
      <c r="O255">
        <v>1627</v>
      </c>
      <c r="P255" t="s">
        <v>213</v>
      </c>
      <c r="Q255">
        <v>35523572</v>
      </c>
      <c r="R255">
        <v>214938011</v>
      </c>
      <c r="S255">
        <v>37.145890000000001</v>
      </c>
      <c r="T255">
        <v>-93.429000000000002</v>
      </c>
      <c r="U255" t="s">
        <v>467</v>
      </c>
      <c r="V255">
        <v>2</v>
      </c>
      <c r="W255" t="s">
        <v>213</v>
      </c>
      <c r="X255" t="s">
        <v>477</v>
      </c>
      <c r="Y255" t="s">
        <v>427</v>
      </c>
      <c r="Z255" t="s">
        <v>478</v>
      </c>
    </row>
    <row r="256" spans="1:26" x14ac:dyDescent="0.25">
      <c r="A256">
        <v>221</v>
      </c>
      <c r="B256" t="s">
        <v>419</v>
      </c>
      <c r="C256" t="s">
        <v>420</v>
      </c>
      <c r="D256">
        <v>265.02199999999999</v>
      </c>
      <c r="E256" t="s">
        <v>421</v>
      </c>
      <c r="F256">
        <v>44165</v>
      </c>
      <c r="G256" t="s">
        <v>422</v>
      </c>
      <c r="H256">
        <v>2200092178</v>
      </c>
      <c r="I256">
        <v>978772</v>
      </c>
      <c r="J256" t="s">
        <v>423</v>
      </c>
      <c r="K256" t="s">
        <v>424</v>
      </c>
      <c r="L256" t="s">
        <v>425</v>
      </c>
      <c r="M256">
        <v>7783</v>
      </c>
      <c r="N256" t="s">
        <v>433</v>
      </c>
      <c r="O256">
        <v>1535</v>
      </c>
      <c r="P256" t="s">
        <v>213</v>
      </c>
      <c r="Q256">
        <v>35523184</v>
      </c>
      <c r="R256">
        <v>214936728</v>
      </c>
      <c r="S256">
        <v>37.146259999999998</v>
      </c>
      <c r="T256">
        <v>-93.428280000000001</v>
      </c>
      <c r="U256" t="s">
        <v>467</v>
      </c>
      <c r="V256">
        <v>2</v>
      </c>
      <c r="W256" t="s">
        <v>213</v>
      </c>
      <c r="X256" t="s">
        <v>477</v>
      </c>
      <c r="Y256" t="s">
        <v>427</v>
      </c>
      <c r="Z256" t="s">
        <v>538</v>
      </c>
    </row>
    <row r="257" spans="1:26" x14ac:dyDescent="0.25">
      <c r="A257">
        <v>222</v>
      </c>
      <c r="B257" t="s">
        <v>419</v>
      </c>
      <c r="C257" t="s">
        <v>435</v>
      </c>
      <c r="D257">
        <v>3.8380000000000001</v>
      </c>
      <c r="E257" t="s">
        <v>447</v>
      </c>
      <c r="F257">
        <v>44254</v>
      </c>
      <c r="G257" t="s">
        <v>422</v>
      </c>
      <c r="H257">
        <v>2210019624</v>
      </c>
      <c r="I257">
        <v>532386</v>
      </c>
      <c r="J257" t="s">
        <v>423</v>
      </c>
      <c r="K257" t="s">
        <v>439</v>
      </c>
      <c r="L257" t="s">
        <v>448</v>
      </c>
      <c r="M257">
        <v>2603</v>
      </c>
      <c r="N257" t="s">
        <v>432</v>
      </c>
      <c r="O257">
        <v>640</v>
      </c>
      <c r="P257" t="s">
        <v>434</v>
      </c>
      <c r="Q257">
        <v>29273402</v>
      </c>
      <c r="R257">
        <v>206029255</v>
      </c>
      <c r="S257">
        <v>37.14705</v>
      </c>
      <c r="T257">
        <v>-93.430070000000001</v>
      </c>
      <c r="U257" t="s">
        <v>467</v>
      </c>
      <c r="V257">
        <v>1</v>
      </c>
      <c r="W257" t="s">
        <v>434</v>
      </c>
      <c r="X257" t="s">
        <v>477</v>
      </c>
      <c r="Y257" t="s">
        <v>436</v>
      </c>
      <c r="Z257" t="s">
        <v>524</v>
      </c>
    </row>
    <row r="258" spans="1:26" x14ac:dyDescent="0.25">
      <c r="A258">
        <v>223</v>
      </c>
      <c r="B258" t="s">
        <v>419</v>
      </c>
      <c r="C258" t="s">
        <v>451</v>
      </c>
      <c r="D258">
        <v>0.03</v>
      </c>
      <c r="E258" t="s">
        <v>421</v>
      </c>
      <c r="F258">
        <v>44301</v>
      </c>
      <c r="G258" t="s">
        <v>422</v>
      </c>
      <c r="H258">
        <v>2210029877</v>
      </c>
      <c r="I258">
        <v>978774</v>
      </c>
      <c r="J258" t="s">
        <v>423</v>
      </c>
      <c r="K258" t="s">
        <v>424</v>
      </c>
      <c r="L258" t="s">
        <v>425</v>
      </c>
      <c r="M258">
        <v>934771</v>
      </c>
      <c r="N258" t="s">
        <v>453</v>
      </c>
      <c r="O258">
        <v>1523</v>
      </c>
      <c r="P258" t="s">
        <v>213</v>
      </c>
      <c r="Q258">
        <v>29439082</v>
      </c>
      <c r="R258">
        <v>206421230</v>
      </c>
      <c r="S258">
        <v>37.145829999999997</v>
      </c>
      <c r="T258">
        <v>-93.429469999999995</v>
      </c>
      <c r="U258" t="s">
        <v>467</v>
      </c>
      <c r="V258">
        <v>2</v>
      </c>
      <c r="W258" t="s">
        <v>213</v>
      </c>
      <c r="X258" t="s">
        <v>477</v>
      </c>
      <c r="Y258" t="s">
        <v>452</v>
      </c>
      <c r="Z258" t="s">
        <v>479</v>
      </c>
    </row>
    <row r="259" spans="1:26" x14ac:dyDescent="0.25">
      <c r="A259">
        <v>224</v>
      </c>
      <c r="B259" t="s">
        <v>419</v>
      </c>
      <c r="C259" t="s">
        <v>510</v>
      </c>
      <c r="D259">
        <v>0.57299999999999995</v>
      </c>
      <c r="E259" t="s">
        <v>421</v>
      </c>
      <c r="F259">
        <v>44212</v>
      </c>
      <c r="G259" t="s">
        <v>442</v>
      </c>
      <c r="H259">
        <v>3210001176</v>
      </c>
      <c r="I259">
        <v>0</v>
      </c>
      <c r="J259" t="s">
        <v>423</v>
      </c>
      <c r="K259" t="s">
        <v>481</v>
      </c>
      <c r="L259" t="s">
        <v>440</v>
      </c>
      <c r="M259">
        <v>68774</v>
      </c>
      <c r="N259" t="s">
        <v>432</v>
      </c>
      <c r="O259">
        <v>820</v>
      </c>
      <c r="P259" t="s">
        <v>213</v>
      </c>
      <c r="Q259">
        <v>29268921</v>
      </c>
      <c r="R259">
        <v>206019455</v>
      </c>
      <c r="S259">
        <v>37.198520000000002</v>
      </c>
      <c r="T259">
        <v>-93.422430000000006</v>
      </c>
      <c r="U259" t="s">
        <v>511</v>
      </c>
      <c r="V259">
        <v>2</v>
      </c>
      <c r="W259" t="s">
        <v>213</v>
      </c>
      <c r="X259" t="s">
        <v>477</v>
      </c>
      <c r="Y259" t="s">
        <v>513</v>
      </c>
      <c r="Z259" t="s">
        <v>478</v>
      </c>
    </row>
    <row r="260" spans="1:26" x14ac:dyDescent="0.25">
      <c r="A260">
        <v>225</v>
      </c>
      <c r="B260" t="s">
        <v>419</v>
      </c>
      <c r="C260" t="s">
        <v>435</v>
      </c>
      <c r="D260">
        <v>3.9359999999999999</v>
      </c>
      <c r="E260" t="s">
        <v>421</v>
      </c>
      <c r="F260">
        <v>44233</v>
      </c>
      <c r="G260" t="s">
        <v>422</v>
      </c>
      <c r="H260">
        <v>2210024246</v>
      </c>
      <c r="I260">
        <v>532775</v>
      </c>
      <c r="J260" t="s">
        <v>423</v>
      </c>
      <c r="K260" t="s">
        <v>439</v>
      </c>
      <c r="L260" t="s">
        <v>440</v>
      </c>
      <c r="M260">
        <v>2603</v>
      </c>
      <c r="N260" t="s">
        <v>432</v>
      </c>
      <c r="O260">
        <v>1635</v>
      </c>
      <c r="P260" t="s">
        <v>213</v>
      </c>
      <c r="Q260">
        <v>29268640</v>
      </c>
      <c r="R260">
        <v>206019149</v>
      </c>
      <c r="S260">
        <v>37.145879999999998</v>
      </c>
      <c r="T260">
        <v>-93.429079999999999</v>
      </c>
      <c r="U260" t="s">
        <v>467</v>
      </c>
      <c r="V260">
        <v>2</v>
      </c>
      <c r="W260" t="s">
        <v>213</v>
      </c>
      <c r="X260" t="s">
        <v>477</v>
      </c>
      <c r="Y260" t="s">
        <v>436</v>
      </c>
      <c r="Z260" t="s">
        <v>523</v>
      </c>
    </row>
    <row r="261" spans="1:26" x14ac:dyDescent="0.25">
      <c r="A261">
        <v>226</v>
      </c>
      <c r="B261" t="s">
        <v>419</v>
      </c>
      <c r="C261" t="s">
        <v>543</v>
      </c>
      <c r="D261">
        <v>7.5970000000000004</v>
      </c>
      <c r="E261" t="s">
        <v>421</v>
      </c>
      <c r="F261">
        <v>44299</v>
      </c>
      <c r="G261" t="s">
        <v>422</v>
      </c>
      <c r="H261">
        <v>2210030686</v>
      </c>
      <c r="I261">
        <v>532386</v>
      </c>
      <c r="J261" t="s">
        <v>423</v>
      </c>
      <c r="K261" t="s">
        <v>424</v>
      </c>
      <c r="L261" t="s">
        <v>425</v>
      </c>
      <c r="M261">
        <v>35491</v>
      </c>
      <c r="N261" t="s">
        <v>441</v>
      </c>
      <c r="O261">
        <v>748</v>
      </c>
      <c r="P261" t="s">
        <v>213</v>
      </c>
      <c r="Q261">
        <v>29439424</v>
      </c>
      <c r="R261">
        <v>206421629</v>
      </c>
      <c r="S261">
        <v>37.147179999999999</v>
      </c>
      <c r="T261">
        <v>-93.430220000000006</v>
      </c>
      <c r="U261" t="s">
        <v>511</v>
      </c>
      <c r="V261">
        <v>2</v>
      </c>
      <c r="W261" t="s">
        <v>213</v>
      </c>
      <c r="X261" t="s">
        <v>477</v>
      </c>
      <c r="Y261" t="s">
        <v>513</v>
      </c>
      <c r="Z261" t="s">
        <v>478</v>
      </c>
    </row>
    <row r="262" spans="1:26" x14ac:dyDescent="0.25">
      <c r="A262">
        <v>227</v>
      </c>
      <c r="B262" t="s">
        <v>419</v>
      </c>
      <c r="C262" t="s">
        <v>435</v>
      </c>
      <c r="D262">
        <v>3.931</v>
      </c>
      <c r="E262" t="s">
        <v>421</v>
      </c>
      <c r="F262">
        <v>44035</v>
      </c>
      <c r="G262" t="s">
        <v>442</v>
      </c>
      <c r="H262">
        <v>2200052164</v>
      </c>
      <c r="I262">
        <v>532775</v>
      </c>
      <c r="J262" t="s">
        <v>423</v>
      </c>
      <c r="K262" t="s">
        <v>424</v>
      </c>
      <c r="L262" t="s">
        <v>425</v>
      </c>
      <c r="M262">
        <v>2603</v>
      </c>
      <c r="N262" t="s">
        <v>453</v>
      </c>
      <c r="O262">
        <v>2114</v>
      </c>
      <c r="P262" t="s">
        <v>213</v>
      </c>
      <c r="Q262">
        <v>23783238</v>
      </c>
      <c r="R262">
        <v>196523834</v>
      </c>
      <c r="S262">
        <v>37.145940000000003</v>
      </c>
      <c r="T262">
        <v>-93.429130000000001</v>
      </c>
      <c r="U262" t="s">
        <v>467</v>
      </c>
      <c r="V262">
        <v>2</v>
      </c>
      <c r="W262" t="s">
        <v>213</v>
      </c>
      <c r="X262" t="s">
        <v>477</v>
      </c>
      <c r="Y262" t="s">
        <v>436</v>
      </c>
      <c r="Z262" t="s">
        <v>523</v>
      </c>
    </row>
    <row r="263" spans="1:26" x14ac:dyDescent="0.25">
      <c r="A263">
        <v>228</v>
      </c>
      <c r="B263" t="s">
        <v>419</v>
      </c>
      <c r="C263" t="s">
        <v>420</v>
      </c>
      <c r="D263">
        <v>265.05900000000003</v>
      </c>
      <c r="E263" t="s">
        <v>421</v>
      </c>
      <c r="F263">
        <v>44088</v>
      </c>
      <c r="G263" t="s">
        <v>422</v>
      </c>
      <c r="H263">
        <v>2200068842</v>
      </c>
      <c r="I263">
        <v>978772</v>
      </c>
      <c r="J263" t="s">
        <v>423</v>
      </c>
      <c r="K263" t="s">
        <v>424</v>
      </c>
      <c r="L263" t="s">
        <v>425</v>
      </c>
      <c r="M263">
        <v>7783</v>
      </c>
      <c r="N263" t="s">
        <v>433</v>
      </c>
      <c r="O263">
        <v>1611</v>
      </c>
      <c r="P263" t="s">
        <v>213</v>
      </c>
      <c r="Q263">
        <v>35521867</v>
      </c>
      <c r="R263">
        <v>214932445</v>
      </c>
      <c r="S263">
        <v>37.145969999999998</v>
      </c>
      <c r="T263">
        <v>-93.428849999999997</v>
      </c>
      <c r="U263" t="s">
        <v>467</v>
      </c>
      <c r="V263">
        <v>2</v>
      </c>
      <c r="W263" t="s">
        <v>213</v>
      </c>
      <c r="X263" t="s">
        <v>477</v>
      </c>
      <c r="Y263" t="s">
        <v>427</v>
      </c>
      <c r="Z263" t="s">
        <v>480</v>
      </c>
    </row>
    <row r="264" spans="1:26" x14ac:dyDescent="0.25">
      <c r="A264">
        <v>229</v>
      </c>
      <c r="B264" t="s">
        <v>419</v>
      </c>
      <c r="C264" t="s">
        <v>435</v>
      </c>
      <c r="D264">
        <v>2.6459999999999999</v>
      </c>
      <c r="E264" t="s">
        <v>447</v>
      </c>
      <c r="F264">
        <v>44528</v>
      </c>
      <c r="G264" t="s">
        <v>422</v>
      </c>
      <c r="H264">
        <v>2210108307</v>
      </c>
      <c r="I264">
        <v>0</v>
      </c>
      <c r="J264" t="s">
        <v>444</v>
      </c>
      <c r="K264" t="s">
        <v>424</v>
      </c>
      <c r="L264" t="s">
        <v>425</v>
      </c>
      <c r="M264">
        <v>2603</v>
      </c>
      <c r="N264" t="s">
        <v>449</v>
      </c>
      <c r="O264">
        <v>2110</v>
      </c>
      <c r="P264" t="s">
        <v>455</v>
      </c>
      <c r="Q264">
        <v>36505798</v>
      </c>
      <c r="R264">
        <v>216541066</v>
      </c>
      <c r="S264">
        <v>37.163060000000002</v>
      </c>
      <c r="T264">
        <v>-93.424250000000001</v>
      </c>
      <c r="U264" t="s">
        <v>467</v>
      </c>
      <c r="V264">
        <v>1</v>
      </c>
      <c r="W264" t="s">
        <v>544</v>
      </c>
      <c r="X264" t="s">
        <v>477</v>
      </c>
      <c r="Y264" t="s">
        <v>436</v>
      </c>
      <c r="Z264" t="s">
        <v>503</v>
      </c>
    </row>
    <row r="265" spans="1:26" x14ac:dyDescent="0.25">
      <c r="A265">
        <v>230</v>
      </c>
      <c r="B265" t="s">
        <v>419</v>
      </c>
      <c r="C265" t="s">
        <v>420</v>
      </c>
      <c r="D265">
        <v>265.15600000000001</v>
      </c>
      <c r="E265" t="s">
        <v>545</v>
      </c>
      <c r="F265">
        <v>44532</v>
      </c>
      <c r="G265" t="s">
        <v>422</v>
      </c>
      <c r="H265">
        <v>2210104787</v>
      </c>
      <c r="I265">
        <v>0</v>
      </c>
      <c r="J265" t="s">
        <v>438</v>
      </c>
      <c r="K265" t="s">
        <v>424</v>
      </c>
      <c r="L265" t="s">
        <v>425</v>
      </c>
      <c r="M265">
        <v>7783</v>
      </c>
      <c r="N265" t="s">
        <v>453</v>
      </c>
      <c r="O265">
        <v>1744</v>
      </c>
      <c r="P265" t="s">
        <v>213</v>
      </c>
      <c r="Q265">
        <v>36260636</v>
      </c>
      <c r="R265">
        <v>216024799</v>
      </c>
      <c r="S265">
        <v>37.145189999999999</v>
      </c>
      <c r="T265">
        <v>-93.430310000000006</v>
      </c>
      <c r="U265" t="s">
        <v>467</v>
      </c>
      <c r="V265">
        <v>2</v>
      </c>
      <c r="W265" t="s">
        <v>213</v>
      </c>
      <c r="X265" t="s">
        <v>477</v>
      </c>
      <c r="Y265" t="s">
        <v>427</v>
      </c>
      <c r="Z265" t="s">
        <v>525</v>
      </c>
    </row>
    <row r="266" spans="1:26" x14ac:dyDescent="0.25">
      <c r="A266">
        <v>231</v>
      </c>
      <c r="B266" t="s">
        <v>419</v>
      </c>
      <c r="C266" t="s">
        <v>435</v>
      </c>
      <c r="D266">
        <v>2.117</v>
      </c>
      <c r="E266" t="s">
        <v>546</v>
      </c>
      <c r="F266">
        <v>44546</v>
      </c>
      <c r="G266" t="s">
        <v>422</v>
      </c>
      <c r="H266">
        <v>2210113426</v>
      </c>
      <c r="I266">
        <v>0</v>
      </c>
      <c r="J266" t="s">
        <v>444</v>
      </c>
      <c r="K266" t="s">
        <v>424</v>
      </c>
      <c r="L266" t="s">
        <v>425</v>
      </c>
      <c r="M266">
        <v>2603</v>
      </c>
      <c r="N266" t="s">
        <v>453</v>
      </c>
      <c r="O266">
        <v>2219</v>
      </c>
      <c r="P266" t="s">
        <v>213</v>
      </c>
      <c r="Q266">
        <v>36507141</v>
      </c>
      <c r="R266">
        <v>216543287</v>
      </c>
      <c r="S266">
        <v>37.170720000000003</v>
      </c>
      <c r="T266">
        <v>-93.424270000000007</v>
      </c>
      <c r="U266" t="s">
        <v>467</v>
      </c>
      <c r="V266">
        <v>2</v>
      </c>
      <c r="W266" t="s">
        <v>213</v>
      </c>
      <c r="X266" t="s">
        <v>477</v>
      </c>
      <c r="Y266" t="s">
        <v>436</v>
      </c>
      <c r="Z266" t="s">
        <v>534</v>
      </c>
    </row>
    <row r="267" spans="1:26" x14ac:dyDescent="0.25">
      <c r="A267">
        <v>232</v>
      </c>
      <c r="B267" t="s">
        <v>419</v>
      </c>
      <c r="C267" t="s">
        <v>435</v>
      </c>
      <c r="D267">
        <v>2.226</v>
      </c>
      <c r="E267" t="s">
        <v>421</v>
      </c>
      <c r="F267">
        <v>44417</v>
      </c>
      <c r="G267" t="s">
        <v>422</v>
      </c>
      <c r="H267">
        <v>2210068504</v>
      </c>
      <c r="I267">
        <v>526664</v>
      </c>
      <c r="J267" t="s">
        <v>438</v>
      </c>
      <c r="K267" t="s">
        <v>424</v>
      </c>
      <c r="L267" t="s">
        <v>425</v>
      </c>
      <c r="M267">
        <v>2603</v>
      </c>
      <c r="N267" t="s">
        <v>433</v>
      </c>
      <c r="O267">
        <v>2116</v>
      </c>
      <c r="P267" t="s">
        <v>213</v>
      </c>
      <c r="Q267">
        <v>32124119</v>
      </c>
      <c r="R267">
        <v>210156782</v>
      </c>
      <c r="S267">
        <v>37.169150000000002</v>
      </c>
      <c r="T267">
        <v>-93.424090000000007</v>
      </c>
      <c r="U267" t="s">
        <v>467</v>
      </c>
      <c r="V267">
        <v>3</v>
      </c>
      <c r="W267" t="s">
        <v>213</v>
      </c>
      <c r="X267" t="s">
        <v>477</v>
      </c>
      <c r="Y267" t="s">
        <v>436</v>
      </c>
      <c r="Z267" t="s">
        <v>496</v>
      </c>
    </row>
    <row r="268" spans="1:26" x14ac:dyDescent="0.25">
      <c r="A268">
        <v>233</v>
      </c>
      <c r="B268" t="s">
        <v>419</v>
      </c>
      <c r="C268" t="s">
        <v>435</v>
      </c>
      <c r="D268">
        <v>1.6659999999999999</v>
      </c>
      <c r="E268" t="s">
        <v>430</v>
      </c>
      <c r="F268">
        <v>44382</v>
      </c>
      <c r="G268" t="s">
        <v>442</v>
      </c>
      <c r="H268">
        <v>2210057703</v>
      </c>
      <c r="I268">
        <v>653787</v>
      </c>
      <c r="J268" t="s">
        <v>444</v>
      </c>
      <c r="K268" t="s">
        <v>424</v>
      </c>
      <c r="L268" t="s">
        <v>425</v>
      </c>
      <c r="M268">
        <v>2603</v>
      </c>
      <c r="N268" t="s">
        <v>433</v>
      </c>
      <c r="O268">
        <v>2255</v>
      </c>
      <c r="P268" t="s">
        <v>213</v>
      </c>
      <c r="Q268">
        <v>31695433</v>
      </c>
      <c r="R268">
        <v>209481187</v>
      </c>
      <c r="S268">
        <v>37.176990000000004</v>
      </c>
      <c r="T268">
        <v>-93.424300000000002</v>
      </c>
      <c r="U268" t="s">
        <v>467</v>
      </c>
      <c r="V268">
        <v>2</v>
      </c>
      <c r="W268" t="s">
        <v>213</v>
      </c>
      <c r="X268" t="s">
        <v>485</v>
      </c>
      <c r="Y268" t="s">
        <v>436</v>
      </c>
      <c r="Z268" t="s">
        <v>521</v>
      </c>
    </row>
    <row r="269" spans="1:26" x14ac:dyDescent="0.25">
      <c r="A269">
        <v>234</v>
      </c>
      <c r="B269" t="s">
        <v>419</v>
      </c>
      <c r="C269" t="s">
        <v>435</v>
      </c>
      <c r="D269">
        <v>3.3860000000000001</v>
      </c>
      <c r="E269" t="s">
        <v>447</v>
      </c>
      <c r="F269">
        <v>44415</v>
      </c>
      <c r="G269" t="s">
        <v>422</v>
      </c>
      <c r="H269">
        <v>2210067250</v>
      </c>
      <c r="I269">
        <v>0</v>
      </c>
      <c r="J269" t="s">
        <v>423</v>
      </c>
      <c r="K269" t="s">
        <v>424</v>
      </c>
      <c r="L269" t="s">
        <v>425</v>
      </c>
      <c r="M269">
        <v>2603</v>
      </c>
      <c r="N269" t="s">
        <v>432</v>
      </c>
      <c r="O269">
        <v>1313</v>
      </c>
      <c r="P269" t="s">
        <v>213</v>
      </c>
      <c r="Q269">
        <v>32129107</v>
      </c>
      <c r="R269">
        <v>210166683</v>
      </c>
      <c r="S269">
        <v>37.152670000000001</v>
      </c>
      <c r="T269">
        <v>-93.426150000000007</v>
      </c>
      <c r="U269" t="s">
        <v>467</v>
      </c>
      <c r="V269">
        <v>1</v>
      </c>
      <c r="W269" t="s">
        <v>547</v>
      </c>
      <c r="X269" t="s">
        <v>477</v>
      </c>
      <c r="Y269" t="s">
        <v>436</v>
      </c>
      <c r="Z269" t="s">
        <v>492</v>
      </c>
    </row>
    <row r="270" spans="1:26" x14ac:dyDescent="0.25">
      <c r="A270">
        <v>235</v>
      </c>
      <c r="B270" t="s">
        <v>419</v>
      </c>
      <c r="C270" t="s">
        <v>420</v>
      </c>
      <c r="D270">
        <v>265.07299999999998</v>
      </c>
      <c r="E270" t="s">
        <v>459</v>
      </c>
      <c r="F270">
        <v>44490</v>
      </c>
      <c r="G270" t="s">
        <v>442</v>
      </c>
      <c r="H270">
        <v>2210092882</v>
      </c>
      <c r="I270">
        <v>532775</v>
      </c>
      <c r="J270" t="s">
        <v>423</v>
      </c>
      <c r="K270" t="s">
        <v>424</v>
      </c>
      <c r="L270" t="s">
        <v>425</v>
      </c>
      <c r="M270">
        <v>7783</v>
      </c>
      <c r="N270" t="s">
        <v>453</v>
      </c>
      <c r="O270">
        <v>1627</v>
      </c>
      <c r="P270" t="s">
        <v>213</v>
      </c>
      <c r="Q270">
        <v>35531491</v>
      </c>
      <c r="R270">
        <v>214962514</v>
      </c>
      <c r="S270">
        <v>37.145859999999999</v>
      </c>
      <c r="T270">
        <v>-93.429060000000007</v>
      </c>
      <c r="U270" t="s">
        <v>467</v>
      </c>
      <c r="V270">
        <v>2</v>
      </c>
      <c r="W270" t="s">
        <v>213</v>
      </c>
      <c r="X270" t="s">
        <v>477</v>
      </c>
      <c r="Y270" t="s">
        <v>427</v>
      </c>
      <c r="Z270" t="s">
        <v>478</v>
      </c>
    </row>
    <row r="271" spans="1:26" x14ac:dyDescent="0.25">
      <c r="A271">
        <v>236</v>
      </c>
      <c r="B271" t="s">
        <v>419</v>
      </c>
      <c r="C271" t="s">
        <v>509</v>
      </c>
      <c r="D271">
        <v>4.2999999999999997E-2</v>
      </c>
      <c r="E271" t="s">
        <v>421</v>
      </c>
      <c r="F271">
        <v>44497</v>
      </c>
      <c r="G271" t="s">
        <v>442</v>
      </c>
      <c r="H271">
        <v>2210094905</v>
      </c>
      <c r="I271">
        <v>978770</v>
      </c>
      <c r="J271" t="s">
        <v>423</v>
      </c>
      <c r="K271" t="s">
        <v>439</v>
      </c>
      <c r="L271" t="s">
        <v>448</v>
      </c>
      <c r="M271">
        <v>934768</v>
      </c>
      <c r="N271" t="s">
        <v>453</v>
      </c>
      <c r="O271">
        <v>1745</v>
      </c>
      <c r="P271" t="s">
        <v>213</v>
      </c>
      <c r="Q271">
        <v>34505532</v>
      </c>
      <c r="R271">
        <v>213580033</v>
      </c>
      <c r="S271">
        <v>37.145350000000001</v>
      </c>
      <c r="T271">
        <v>-93.428709999999995</v>
      </c>
      <c r="U271" t="s">
        <v>467</v>
      </c>
      <c r="V271">
        <v>2</v>
      </c>
      <c r="W271" t="s">
        <v>213</v>
      </c>
      <c r="X271" t="s">
        <v>477</v>
      </c>
      <c r="Y271" t="s">
        <v>452</v>
      </c>
      <c r="Z271" t="s">
        <v>480</v>
      </c>
    </row>
    <row r="272" spans="1:26" x14ac:dyDescent="0.25">
      <c r="A272">
        <v>237</v>
      </c>
      <c r="B272" t="s">
        <v>419</v>
      </c>
      <c r="C272" t="s">
        <v>451</v>
      </c>
      <c r="D272">
        <v>2.3E-2</v>
      </c>
      <c r="E272" t="s">
        <v>421</v>
      </c>
      <c r="F272">
        <v>44466</v>
      </c>
      <c r="G272" t="s">
        <v>422</v>
      </c>
      <c r="H272">
        <v>2210086571</v>
      </c>
      <c r="I272">
        <v>978773</v>
      </c>
      <c r="J272" t="s">
        <v>423</v>
      </c>
      <c r="K272" t="s">
        <v>424</v>
      </c>
      <c r="L272" t="s">
        <v>425</v>
      </c>
      <c r="M272">
        <v>934771</v>
      </c>
      <c r="N272" t="s">
        <v>433</v>
      </c>
      <c r="O272">
        <v>1743</v>
      </c>
      <c r="P272" t="s">
        <v>213</v>
      </c>
      <c r="Q272">
        <v>34295829</v>
      </c>
      <c r="R272">
        <v>212990260</v>
      </c>
      <c r="S272">
        <v>37.14593</v>
      </c>
      <c r="T272">
        <v>-93.429410000000004</v>
      </c>
      <c r="U272" t="s">
        <v>467</v>
      </c>
      <c r="V272">
        <v>2</v>
      </c>
      <c r="W272" t="s">
        <v>213</v>
      </c>
      <c r="X272" t="s">
        <v>477</v>
      </c>
      <c r="Y272" t="s">
        <v>452</v>
      </c>
      <c r="Z272" t="s">
        <v>538</v>
      </c>
    </row>
    <row r="273" spans="1:26" x14ac:dyDescent="0.25">
      <c r="A273">
        <v>238</v>
      </c>
      <c r="B273" t="s">
        <v>419</v>
      </c>
      <c r="C273" t="s">
        <v>435</v>
      </c>
      <c r="D273">
        <v>0.65700000000000003</v>
      </c>
      <c r="E273" t="s">
        <v>447</v>
      </c>
      <c r="F273">
        <v>44475</v>
      </c>
      <c r="G273" t="s">
        <v>442</v>
      </c>
      <c r="H273">
        <v>2210087938</v>
      </c>
      <c r="I273">
        <v>521100</v>
      </c>
      <c r="J273" t="s">
        <v>444</v>
      </c>
      <c r="K273" t="s">
        <v>439</v>
      </c>
      <c r="L273" t="s">
        <v>526</v>
      </c>
      <c r="M273">
        <v>2603</v>
      </c>
      <c r="N273" t="s">
        <v>437</v>
      </c>
      <c r="O273">
        <v>1918</v>
      </c>
      <c r="P273" t="s">
        <v>213</v>
      </c>
      <c r="Q273">
        <v>34302380</v>
      </c>
      <c r="R273">
        <v>213004032</v>
      </c>
      <c r="S273">
        <v>37.191580000000002</v>
      </c>
      <c r="T273">
        <v>-93.423349999999999</v>
      </c>
      <c r="U273" t="s">
        <v>467</v>
      </c>
      <c r="V273">
        <v>1</v>
      </c>
      <c r="W273" t="s">
        <v>213</v>
      </c>
      <c r="X273" t="s">
        <v>477</v>
      </c>
      <c r="Y273" t="s">
        <v>436</v>
      </c>
      <c r="Z273" t="s">
        <v>489</v>
      </c>
    </row>
    <row r="274" spans="1:26" x14ac:dyDescent="0.25">
      <c r="A274">
        <v>239</v>
      </c>
      <c r="B274" t="s">
        <v>419</v>
      </c>
      <c r="C274" t="s">
        <v>451</v>
      </c>
      <c r="D274">
        <v>3.5999999999999997E-2</v>
      </c>
      <c r="E274" t="s">
        <v>421</v>
      </c>
      <c r="F274">
        <v>44456</v>
      </c>
      <c r="G274" t="s">
        <v>422</v>
      </c>
      <c r="H274">
        <v>2210083770</v>
      </c>
      <c r="I274">
        <v>978774</v>
      </c>
      <c r="J274" t="s">
        <v>423</v>
      </c>
      <c r="K274" t="s">
        <v>424</v>
      </c>
      <c r="L274" t="s">
        <v>425</v>
      </c>
      <c r="M274">
        <v>934771</v>
      </c>
      <c r="N274" t="s">
        <v>426</v>
      </c>
      <c r="O274">
        <v>1102</v>
      </c>
      <c r="P274" t="s">
        <v>213</v>
      </c>
      <c r="Q274">
        <v>32318963</v>
      </c>
      <c r="R274">
        <v>210616796</v>
      </c>
      <c r="S274">
        <v>37.14575</v>
      </c>
      <c r="T274">
        <v>-93.429509999999993</v>
      </c>
      <c r="U274" t="s">
        <v>467</v>
      </c>
      <c r="V274">
        <v>2</v>
      </c>
      <c r="W274" t="s">
        <v>213</v>
      </c>
      <c r="X274" t="s">
        <v>477</v>
      </c>
      <c r="Y274" t="s">
        <v>452</v>
      </c>
      <c r="Z274" t="s">
        <v>523</v>
      </c>
    </row>
    <row r="275" spans="1:26" x14ac:dyDescent="0.25">
      <c r="A275">
        <v>240</v>
      </c>
      <c r="B275" t="s">
        <v>419</v>
      </c>
      <c r="C275" t="s">
        <v>435</v>
      </c>
      <c r="D275">
        <v>3.1560000000000001</v>
      </c>
      <c r="E275" t="s">
        <v>447</v>
      </c>
      <c r="F275">
        <v>44460</v>
      </c>
      <c r="G275" t="s">
        <v>442</v>
      </c>
      <c r="H275">
        <v>2210081422</v>
      </c>
      <c r="I275">
        <v>530100</v>
      </c>
      <c r="J275" t="s">
        <v>423</v>
      </c>
      <c r="K275" t="s">
        <v>424</v>
      </c>
      <c r="L275" t="s">
        <v>425</v>
      </c>
      <c r="M275">
        <v>2603</v>
      </c>
      <c r="N275" t="s">
        <v>441</v>
      </c>
      <c r="O275">
        <v>1836</v>
      </c>
      <c r="P275" t="s">
        <v>455</v>
      </c>
      <c r="Q275">
        <v>34286232</v>
      </c>
      <c r="R275">
        <v>212971636</v>
      </c>
      <c r="S275">
        <v>37.155670000000001</v>
      </c>
      <c r="T275">
        <v>-93.424469999999999</v>
      </c>
      <c r="U275" t="s">
        <v>467</v>
      </c>
      <c r="V275">
        <v>1</v>
      </c>
      <c r="W275" t="s">
        <v>548</v>
      </c>
      <c r="X275" t="s">
        <v>477</v>
      </c>
      <c r="Y275" t="s">
        <v>436</v>
      </c>
      <c r="Z275" t="s">
        <v>508</v>
      </c>
    </row>
    <row r="276" spans="1:26" x14ac:dyDescent="0.25">
      <c r="A276">
        <v>241</v>
      </c>
      <c r="B276" t="s">
        <v>419</v>
      </c>
      <c r="C276" t="s">
        <v>435</v>
      </c>
      <c r="D276">
        <v>3.9359999999999999</v>
      </c>
      <c r="E276" t="s">
        <v>421</v>
      </c>
      <c r="F276">
        <v>44511</v>
      </c>
      <c r="G276" t="s">
        <v>422</v>
      </c>
      <c r="H276">
        <v>2210099175</v>
      </c>
      <c r="I276">
        <v>532775</v>
      </c>
      <c r="J276" t="s">
        <v>423</v>
      </c>
      <c r="K276" t="s">
        <v>424</v>
      </c>
      <c r="L276" t="s">
        <v>425</v>
      </c>
      <c r="M276">
        <v>2603</v>
      </c>
      <c r="N276" t="s">
        <v>453</v>
      </c>
      <c r="O276">
        <v>1041</v>
      </c>
      <c r="P276" t="s">
        <v>213</v>
      </c>
      <c r="Q276">
        <v>34484769</v>
      </c>
      <c r="R276">
        <v>213537818</v>
      </c>
      <c r="S276">
        <v>37.145879999999998</v>
      </c>
      <c r="T276">
        <v>-93.429079999999999</v>
      </c>
      <c r="U276" t="s">
        <v>467</v>
      </c>
      <c r="V276">
        <v>2</v>
      </c>
      <c r="W276" t="s">
        <v>213</v>
      </c>
      <c r="X276" t="s">
        <v>477</v>
      </c>
      <c r="Y276" t="s">
        <v>436</v>
      </c>
      <c r="Z276" t="s">
        <v>549</v>
      </c>
    </row>
    <row r="277" spans="1:26" x14ac:dyDescent="0.25">
      <c r="A277">
        <v>242</v>
      </c>
      <c r="B277" t="s">
        <v>419</v>
      </c>
      <c r="C277" t="s">
        <v>435</v>
      </c>
      <c r="D277">
        <v>1.5</v>
      </c>
      <c r="E277" t="s">
        <v>421</v>
      </c>
      <c r="F277">
        <v>44488</v>
      </c>
      <c r="G277" t="s">
        <v>422</v>
      </c>
      <c r="H277">
        <v>2210091069</v>
      </c>
      <c r="I277">
        <v>0</v>
      </c>
      <c r="J277" t="s">
        <v>423</v>
      </c>
      <c r="K277" t="s">
        <v>424</v>
      </c>
      <c r="L277" t="s">
        <v>425</v>
      </c>
      <c r="M277">
        <v>2603</v>
      </c>
      <c r="N277" t="s">
        <v>441</v>
      </c>
      <c r="O277">
        <v>1657</v>
      </c>
      <c r="P277" t="s">
        <v>213</v>
      </c>
      <c r="Q277">
        <v>34399796</v>
      </c>
      <c r="R277">
        <v>213216040</v>
      </c>
      <c r="S277">
        <v>37.179360000000003</v>
      </c>
      <c r="T277">
        <v>-93.423820000000006</v>
      </c>
      <c r="U277" t="s">
        <v>467</v>
      </c>
      <c r="V277">
        <v>3</v>
      </c>
      <c r="W277" t="s">
        <v>213</v>
      </c>
      <c r="X277" t="s">
        <v>477</v>
      </c>
      <c r="Y277" t="s">
        <v>436</v>
      </c>
      <c r="Z277" t="s">
        <v>522</v>
      </c>
    </row>
    <row r="278" spans="1:26" x14ac:dyDescent="0.25">
      <c r="A278">
        <v>243</v>
      </c>
      <c r="B278" t="s">
        <v>419</v>
      </c>
      <c r="C278" t="s">
        <v>451</v>
      </c>
      <c r="D278">
        <v>4.9000000000000002E-2</v>
      </c>
      <c r="E278" t="s">
        <v>421</v>
      </c>
      <c r="F278">
        <v>44489</v>
      </c>
      <c r="G278" t="s">
        <v>422</v>
      </c>
      <c r="H278">
        <v>2210099209</v>
      </c>
      <c r="I278">
        <v>978774</v>
      </c>
      <c r="J278" t="s">
        <v>423</v>
      </c>
      <c r="K278" t="s">
        <v>424</v>
      </c>
      <c r="L278" t="s">
        <v>425</v>
      </c>
      <c r="M278">
        <v>934771</v>
      </c>
      <c r="N278" t="s">
        <v>437</v>
      </c>
      <c r="O278">
        <v>1830</v>
      </c>
      <c r="P278" t="s">
        <v>213</v>
      </c>
      <c r="Q278">
        <v>34484794</v>
      </c>
      <c r="R278">
        <v>213537847</v>
      </c>
      <c r="S278">
        <v>37.145580000000002</v>
      </c>
      <c r="T278">
        <v>-93.42962</v>
      </c>
      <c r="U278" t="s">
        <v>467</v>
      </c>
      <c r="V278">
        <v>2</v>
      </c>
      <c r="W278" t="s">
        <v>213</v>
      </c>
      <c r="X278" t="s">
        <v>477</v>
      </c>
      <c r="Y278" t="s">
        <v>452</v>
      </c>
      <c r="Z278" t="s">
        <v>479</v>
      </c>
    </row>
    <row r="279" spans="1:26" x14ac:dyDescent="0.25">
      <c r="A279">
        <v>244</v>
      </c>
      <c r="B279" t="s">
        <v>419</v>
      </c>
      <c r="C279" t="s">
        <v>435</v>
      </c>
      <c r="D279">
        <v>2.9119999999999999</v>
      </c>
      <c r="E279" t="s">
        <v>421</v>
      </c>
      <c r="F279">
        <v>44484</v>
      </c>
      <c r="G279" t="s">
        <v>422</v>
      </c>
      <c r="H279">
        <v>2210092878</v>
      </c>
      <c r="I279">
        <v>0</v>
      </c>
      <c r="J279" t="s">
        <v>423</v>
      </c>
      <c r="K279" t="s">
        <v>439</v>
      </c>
      <c r="L279" t="s">
        <v>440</v>
      </c>
      <c r="M279">
        <v>2603</v>
      </c>
      <c r="N279" t="s">
        <v>426</v>
      </c>
      <c r="O279">
        <v>752</v>
      </c>
      <c r="P279" t="s">
        <v>213</v>
      </c>
      <c r="Q279">
        <v>34424391</v>
      </c>
      <c r="R279">
        <v>213261867</v>
      </c>
      <c r="S279">
        <v>37.159199999999998</v>
      </c>
      <c r="T279">
        <v>-93.424359999999993</v>
      </c>
      <c r="U279" t="s">
        <v>467</v>
      </c>
      <c r="V279">
        <v>2</v>
      </c>
      <c r="W279" t="s">
        <v>213</v>
      </c>
      <c r="X279" t="s">
        <v>477</v>
      </c>
      <c r="Y279" t="s">
        <v>436</v>
      </c>
      <c r="Z279" t="s">
        <v>507</v>
      </c>
    </row>
    <row r="280" spans="1:26" x14ac:dyDescent="0.25">
      <c r="A280">
        <v>245</v>
      </c>
      <c r="B280" t="s">
        <v>419</v>
      </c>
      <c r="C280" t="s">
        <v>451</v>
      </c>
      <c r="D280">
        <v>2.9000000000000001E-2</v>
      </c>
      <c r="E280" t="s">
        <v>421</v>
      </c>
      <c r="F280">
        <v>44475</v>
      </c>
      <c r="G280" t="s">
        <v>422</v>
      </c>
      <c r="H280">
        <v>2210086588</v>
      </c>
      <c r="I280">
        <v>978774</v>
      </c>
      <c r="J280" t="s">
        <v>423</v>
      </c>
      <c r="K280" t="s">
        <v>439</v>
      </c>
      <c r="L280" t="s">
        <v>448</v>
      </c>
      <c r="M280">
        <v>934771</v>
      </c>
      <c r="N280" t="s">
        <v>437</v>
      </c>
      <c r="O280">
        <v>1153</v>
      </c>
      <c r="P280" t="s">
        <v>213</v>
      </c>
      <c r="Q280">
        <v>34383286</v>
      </c>
      <c r="R280">
        <v>213176827</v>
      </c>
      <c r="S280">
        <v>37.145850000000003</v>
      </c>
      <c r="T280">
        <v>-93.429460000000006</v>
      </c>
      <c r="U280" t="s">
        <v>467</v>
      </c>
      <c r="V280">
        <v>2</v>
      </c>
      <c r="W280" t="s">
        <v>213</v>
      </c>
      <c r="X280" t="s">
        <v>477</v>
      </c>
      <c r="Y280" t="s">
        <v>452</v>
      </c>
      <c r="Z280" t="s">
        <v>479</v>
      </c>
    </row>
    <row r="281" spans="1:26" x14ac:dyDescent="0.25">
      <c r="A281">
        <v>246</v>
      </c>
      <c r="B281" t="s">
        <v>419</v>
      </c>
      <c r="C281" t="s">
        <v>435</v>
      </c>
      <c r="D281">
        <v>2.2200000000000002</v>
      </c>
      <c r="E281" t="s">
        <v>430</v>
      </c>
      <c r="F281">
        <v>44398</v>
      </c>
      <c r="G281" t="s">
        <v>442</v>
      </c>
      <c r="H281">
        <v>2210064173</v>
      </c>
      <c r="I281">
        <v>526664</v>
      </c>
      <c r="J281" t="s">
        <v>438</v>
      </c>
      <c r="K281" t="s">
        <v>424</v>
      </c>
      <c r="L281" t="s">
        <v>425</v>
      </c>
      <c r="M281">
        <v>2603</v>
      </c>
      <c r="N281" t="s">
        <v>437</v>
      </c>
      <c r="O281">
        <v>2256</v>
      </c>
      <c r="P281" t="s">
        <v>213</v>
      </c>
      <c r="Q281">
        <v>31725542</v>
      </c>
      <c r="R281">
        <v>209554119</v>
      </c>
      <c r="S281">
        <v>37.169240000000002</v>
      </c>
      <c r="T281">
        <v>-93.424090000000007</v>
      </c>
      <c r="U281" t="s">
        <v>467</v>
      </c>
      <c r="V281">
        <v>2</v>
      </c>
      <c r="W281" t="s">
        <v>213</v>
      </c>
      <c r="X281" t="s">
        <v>477</v>
      </c>
      <c r="Y281" t="s">
        <v>436</v>
      </c>
      <c r="Z281" t="s">
        <v>527</v>
      </c>
    </row>
    <row r="282" spans="1:26" x14ac:dyDescent="0.25">
      <c r="A282">
        <v>247</v>
      </c>
      <c r="B282" t="s">
        <v>419</v>
      </c>
      <c r="C282" t="s">
        <v>429</v>
      </c>
      <c r="D282">
        <v>75.558000000000007</v>
      </c>
      <c r="E282" t="s">
        <v>421</v>
      </c>
      <c r="F282">
        <v>44421</v>
      </c>
      <c r="G282" t="s">
        <v>422</v>
      </c>
      <c r="H282">
        <v>2210067463</v>
      </c>
      <c r="I282">
        <v>978769</v>
      </c>
      <c r="J282" t="s">
        <v>423</v>
      </c>
      <c r="K282" t="s">
        <v>424</v>
      </c>
      <c r="L282" t="s">
        <v>425</v>
      </c>
      <c r="M282">
        <v>7782</v>
      </c>
      <c r="N282" t="s">
        <v>426</v>
      </c>
      <c r="O282">
        <v>726</v>
      </c>
      <c r="P282" t="s">
        <v>213</v>
      </c>
      <c r="Q282">
        <v>32139537</v>
      </c>
      <c r="R282">
        <v>210191643</v>
      </c>
      <c r="S282">
        <v>37.145409999999998</v>
      </c>
      <c r="T282">
        <v>-93.429519999999997</v>
      </c>
      <c r="U282" t="s">
        <v>467</v>
      </c>
      <c r="V282">
        <v>2</v>
      </c>
      <c r="W282" t="s">
        <v>213</v>
      </c>
      <c r="X282" t="s">
        <v>477</v>
      </c>
      <c r="Y282" t="s">
        <v>427</v>
      </c>
      <c r="Z282" t="s">
        <v>536</v>
      </c>
    </row>
    <row r="283" spans="1:26" x14ac:dyDescent="0.25">
      <c r="A283">
        <v>248</v>
      </c>
      <c r="B283" t="s">
        <v>419</v>
      </c>
      <c r="C283" t="s">
        <v>451</v>
      </c>
      <c r="D283">
        <v>4.1000000000000002E-2</v>
      </c>
      <c r="E283" t="s">
        <v>421</v>
      </c>
      <c r="F283">
        <v>44425</v>
      </c>
      <c r="G283" t="s">
        <v>422</v>
      </c>
      <c r="H283">
        <v>2210075485</v>
      </c>
      <c r="I283">
        <v>978774</v>
      </c>
      <c r="J283" t="s">
        <v>423</v>
      </c>
      <c r="K283" t="s">
        <v>424</v>
      </c>
      <c r="L283" t="s">
        <v>425</v>
      </c>
      <c r="M283">
        <v>934771</v>
      </c>
      <c r="N283" t="s">
        <v>441</v>
      </c>
      <c r="O283">
        <v>1533</v>
      </c>
      <c r="P283" t="s">
        <v>213</v>
      </c>
      <c r="Q283">
        <v>32212224</v>
      </c>
      <c r="R283">
        <v>210358477</v>
      </c>
      <c r="S283">
        <v>37.145690000000002</v>
      </c>
      <c r="T283">
        <v>-93.429550000000006</v>
      </c>
      <c r="U283" t="s">
        <v>467</v>
      </c>
      <c r="V283">
        <v>2</v>
      </c>
      <c r="W283" t="s">
        <v>213</v>
      </c>
      <c r="X283" t="s">
        <v>477</v>
      </c>
      <c r="Y283" t="s">
        <v>452</v>
      </c>
      <c r="Z283" t="s">
        <v>479</v>
      </c>
    </row>
    <row r="284" spans="1:26" x14ac:dyDescent="0.25">
      <c r="A284">
        <v>249</v>
      </c>
      <c r="B284" t="s">
        <v>419</v>
      </c>
      <c r="C284" t="s">
        <v>435</v>
      </c>
      <c r="D284">
        <v>1.806</v>
      </c>
      <c r="E284" t="s">
        <v>428</v>
      </c>
      <c r="F284">
        <v>44403</v>
      </c>
      <c r="G284" t="s">
        <v>422</v>
      </c>
      <c r="H284">
        <v>2210068200</v>
      </c>
      <c r="I284">
        <v>653786</v>
      </c>
      <c r="J284" t="s">
        <v>423</v>
      </c>
      <c r="K284" t="s">
        <v>424</v>
      </c>
      <c r="L284" t="s">
        <v>425</v>
      </c>
      <c r="M284">
        <v>2603</v>
      </c>
      <c r="N284" t="s">
        <v>433</v>
      </c>
      <c r="O284">
        <v>1920</v>
      </c>
      <c r="P284" t="s">
        <v>213</v>
      </c>
      <c r="Q284">
        <v>32106855</v>
      </c>
      <c r="R284">
        <v>210113425</v>
      </c>
      <c r="S284">
        <v>37.175040000000003</v>
      </c>
      <c r="T284">
        <v>-93.425020000000004</v>
      </c>
      <c r="U284" t="s">
        <v>467</v>
      </c>
      <c r="V284">
        <v>2</v>
      </c>
      <c r="W284" t="s">
        <v>213</v>
      </c>
      <c r="X284" t="s">
        <v>485</v>
      </c>
      <c r="Y284" t="s">
        <v>436</v>
      </c>
      <c r="Z284" t="s">
        <v>516</v>
      </c>
    </row>
    <row r="285" spans="1:26" x14ac:dyDescent="0.25">
      <c r="A285">
        <v>250</v>
      </c>
      <c r="B285" t="s">
        <v>419</v>
      </c>
      <c r="C285" t="s">
        <v>435</v>
      </c>
      <c r="D285">
        <v>3.577</v>
      </c>
      <c r="E285" t="s">
        <v>421</v>
      </c>
      <c r="F285">
        <v>44541</v>
      </c>
      <c r="G285" t="s">
        <v>422</v>
      </c>
      <c r="H285">
        <v>2210116438</v>
      </c>
      <c r="I285">
        <v>0</v>
      </c>
      <c r="J285" t="s">
        <v>423</v>
      </c>
      <c r="K285" t="s">
        <v>424</v>
      </c>
      <c r="L285" t="s">
        <v>425</v>
      </c>
      <c r="M285">
        <v>2603</v>
      </c>
      <c r="N285" t="s">
        <v>432</v>
      </c>
      <c r="O285">
        <v>1345</v>
      </c>
      <c r="P285" t="s">
        <v>213</v>
      </c>
      <c r="Q285">
        <v>36432658</v>
      </c>
      <c r="R285">
        <v>216369774</v>
      </c>
      <c r="S285">
        <v>37.150239999999997</v>
      </c>
      <c r="T285">
        <v>-93.427809999999994</v>
      </c>
      <c r="U285" t="s">
        <v>467</v>
      </c>
      <c r="V285">
        <v>2</v>
      </c>
      <c r="W285" t="s">
        <v>213</v>
      </c>
      <c r="X285" t="s">
        <v>477</v>
      </c>
      <c r="Y285" t="s">
        <v>436</v>
      </c>
      <c r="Z285" t="s">
        <v>514</v>
      </c>
    </row>
    <row r="286" spans="1:26" x14ac:dyDescent="0.25">
      <c r="A286">
        <v>251</v>
      </c>
      <c r="B286" t="s">
        <v>419</v>
      </c>
      <c r="C286" t="s">
        <v>435</v>
      </c>
      <c r="D286">
        <v>2.294</v>
      </c>
      <c r="E286" t="s">
        <v>430</v>
      </c>
      <c r="F286">
        <v>44548</v>
      </c>
      <c r="G286" t="s">
        <v>442</v>
      </c>
      <c r="H286">
        <v>2210113767</v>
      </c>
      <c r="I286">
        <v>0</v>
      </c>
      <c r="J286" t="s">
        <v>438</v>
      </c>
      <c r="K286" t="s">
        <v>424</v>
      </c>
      <c r="L286" t="s">
        <v>440</v>
      </c>
      <c r="M286">
        <v>2603</v>
      </c>
      <c r="N286" t="s">
        <v>432</v>
      </c>
      <c r="O286">
        <v>1740</v>
      </c>
      <c r="P286" t="s">
        <v>213</v>
      </c>
      <c r="Q286">
        <v>36383101</v>
      </c>
      <c r="R286">
        <v>216278917</v>
      </c>
      <c r="S286">
        <v>37.168170000000003</v>
      </c>
      <c r="T286">
        <v>-93.424120000000002</v>
      </c>
      <c r="U286" t="s">
        <v>467</v>
      </c>
      <c r="V286">
        <v>2</v>
      </c>
      <c r="W286" t="s">
        <v>213</v>
      </c>
      <c r="X286" t="s">
        <v>477</v>
      </c>
      <c r="Y286" t="s">
        <v>436</v>
      </c>
      <c r="Z286" t="s">
        <v>527</v>
      </c>
    </row>
    <row r="287" spans="1:26" x14ac:dyDescent="0.25">
      <c r="A287">
        <v>252</v>
      </c>
      <c r="B287" t="s">
        <v>419</v>
      </c>
      <c r="C287" t="s">
        <v>462</v>
      </c>
      <c r="D287">
        <v>0</v>
      </c>
      <c r="E287" t="s">
        <v>464</v>
      </c>
      <c r="F287">
        <v>44571</v>
      </c>
      <c r="G287" t="s">
        <v>422</v>
      </c>
      <c r="H287">
        <v>2220002236</v>
      </c>
      <c r="I287">
        <v>532775</v>
      </c>
      <c r="J287" t="s">
        <v>438</v>
      </c>
      <c r="K287" t="s">
        <v>424</v>
      </c>
      <c r="L287" t="s">
        <v>425</v>
      </c>
      <c r="M287">
        <v>2611</v>
      </c>
      <c r="N287" t="s">
        <v>433</v>
      </c>
      <c r="O287">
        <v>1811</v>
      </c>
      <c r="P287" t="s">
        <v>213</v>
      </c>
      <c r="Q287">
        <v>36653266</v>
      </c>
      <c r="R287">
        <v>216872050</v>
      </c>
      <c r="S287">
        <v>37.145859999999999</v>
      </c>
      <c r="T287">
        <v>-93.429060000000007</v>
      </c>
      <c r="U287" t="s">
        <v>467</v>
      </c>
      <c r="V287">
        <v>2</v>
      </c>
      <c r="W287" t="s">
        <v>213</v>
      </c>
      <c r="X287" t="s">
        <v>477</v>
      </c>
      <c r="Y287" t="s">
        <v>436</v>
      </c>
      <c r="Z287" t="s">
        <v>549</v>
      </c>
    </row>
    <row r="288" spans="1:26" x14ac:dyDescent="0.25">
      <c r="A288">
        <v>253</v>
      </c>
      <c r="B288" t="s">
        <v>419</v>
      </c>
      <c r="C288" t="s">
        <v>435</v>
      </c>
      <c r="D288">
        <v>1.8029999999999999</v>
      </c>
      <c r="E288" t="s">
        <v>421</v>
      </c>
      <c r="F288">
        <v>44509</v>
      </c>
      <c r="G288" t="s">
        <v>422</v>
      </c>
      <c r="H288">
        <v>2210103316</v>
      </c>
      <c r="I288">
        <v>653786</v>
      </c>
      <c r="J288" t="s">
        <v>423</v>
      </c>
      <c r="K288" t="s">
        <v>424</v>
      </c>
      <c r="L288" t="s">
        <v>425</v>
      </c>
      <c r="M288">
        <v>2603</v>
      </c>
      <c r="N288" t="s">
        <v>441</v>
      </c>
      <c r="O288">
        <v>1020</v>
      </c>
      <c r="P288" t="s">
        <v>213</v>
      </c>
      <c r="Q288">
        <v>36026994</v>
      </c>
      <c r="R288">
        <v>215512913</v>
      </c>
      <c r="S288">
        <v>37.175080000000001</v>
      </c>
      <c r="T288">
        <v>-93.424999999999997</v>
      </c>
      <c r="U288" t="s">
        <v>467</v>
      </c>
      <c r="V288">
        <v>2</v>
      </c>
      <c r="W288" t="s">
        <v>213</v>
      </c>
      <c r="X288" t="s">
        <v>485</v>
      </c>
      <c r="Y288" t="s">
        <v>436</v>
      </c>
      <c r="Z288" t="s">
        <v>504</v>
      </c>
    </row>
    <row r="289" spans="1:26" x14ac:dyDescent="0.25">
      <c r="A289">
        <v>254</v>
      </c>
      <c r="B289" t="s">
        <v>419</v>
      </c>
      <c r="C289" t="s">
        <v>435</v>
      </c>
      <c r="D289">
        <v>3.84</v>
      </c>
      <c r="E289" t="s">
        <v>421</v>
      </c>
      <c r="F289">
        <v>44552</v>
      </c>
      <c r="G289" t="s">
        <v>422</v>
      </c>
      <c r="H289">
        <v>2210114401</v>
      </c>
      <c r="I289">
        <v>532386</v>
      </c>
      <c r="J289" t="s">
        <v>423</v>
      </c>
      <c r="K289" t="s">
        <v>424</v>
      </c>
      <c r="L289" t="s">
        <v>425</v>
      </c>
      <c r="M289">
        <v>2603</v>
      </c>
      <c r="N289" t="s">
        <v>437</v>
      </c>
      <c r="O289">
        <v>1543</v>
      </c>
      <c r="P289" t="s">
        <v>213</v>
      </c>
      <c r="Q289">
        <v>36542702</v>
      </c>
      <c r="R289">
        <v>216628581</v>
      </c>
      <c r="S289">
        <v>37.147030000000001</v>
      </c>
      <c r="T289">
        <v>-93.430049999999994</v>
      </c>
      <c r="U289" t="s">
        <v>467</v>
      </c>
      <c r="V289">
        <v>2</v>
      </c>
      <c r="W289" t="s">
        <v>213</v>
      </c>
      <c r="X289" t="s">
        <v>477</v>
      </c>
      <c r="Y289" t="s">
        <v>436</v>
      </c>
      <c r="Z289" t="s">
        <v>524</v>
      </c>
    </row>
    <row r="290" spans="1:26" x14ac:dyDescent="0.25">
      <c r="A290">
        <v>255</v>
      </c>
      <c r="B290" t="s">
        <v>419</v>
      </c>
      <c r="C290" t="s">
        <v>420</v>
      </c>
      <c r="D290">
        <v>265.00400000000002</v>
      </c>
      <c r="E290" t="s">
        <v>421</v>
      </c>
      <c r="F290">
        <v>44512</v>
      </c>
      <c r="G290" t="s">
        <v>422</v>
      </c>
      <c r="H290">
        <v>2210101748</v>
      </c>
      <c r="I290">
        <v>0</v>
      </c>
      <c r="J290" t="s">
        <v>423</v>
      </c>
      <c r="K290" t="s">
        <v>424</v>
      </c>
      <c r="L290" t="s">
        <v>425</v>
      </c>
      <c r="M290">
        <v>7783</v>
      </c>
      <c r="N290" t="s">
        <v>426</v>
      </c>
      <c r="O290">
        <v>1531</v>
      </c>
      <c r="P290" t="s">
        <v>213</v>
      </c>
      <c r="Q290">
        <v>36071050</v>
      </c>
      <c r="R290">
        <v>215601863</v>
      </c>
      <c r="S290">
        <v>37.1464</v>
      </c>
      <c r="T290">
        <v>-93.42801</v>
      </c>
      <c r="U290" t="s">
        <v>467</v>
      </c>
      <c r="V290">
        <v>2</v>
      </c>
      <c r="W290" t="s">
        <v>213</v>
      </c>
      <c r="X290" t="s">
        <v>477</v>
      </c>
      <c r="Y290" t="s">
        <v>427</v>
      </c>
      <c r="Z290" t="s">
        <v>538</v>
      </c>
    </row>
    <row r="291" spans="1:26" x14ac:dyDescent="0.25">
      <c r="A291">
        <v>256</v>
      </c>
      <c r="B291" t="s">
        <v>419</v>
      </c>
      <c r="C291" t="s">
        <v>451</v>
      </c>
      <c r="D291">
        <v>3.3000000000000002E-2</v>
      </c>
      <c r="E291" t="s">
        <v>421</v>
      </c>
      <c r="F291">
        <v>44465</v>
      </c>
      <c r="G291" t="s">
        <v>422</v>
      </c>
      <c r="H291">
        <v>2210083208</v>
      </c>
      <c r="I291">
        <v>978774</v>
      </c>
      <c r="J291" t="s">
        <v>423</v>
      </c>
      <c r="K291" t="s">
        <v>424</v>
      </c>
      <c r="L291" t="s">
        <v>425</v>
      </c>
      <c r="M291">
        <v>934771</v>
      </c>
      <c r="N291" t="s">
        <v>449</v>
      </c>
      <c r="O291">
        <v>1747</v>
      </c>
      <c r="P291" t="s">
        <v>213</v>
      </c>
      <c r="Q291">
        <v>34282042</v>
      </c>
      <c r="R291">
        <v>212962745</v>
      </c>
      <c r="S291">
        <v>37.145789999999998</v>
      </c>
      <c r="T291">
        <v>-93.429490000000001</v>
      </c>
      <c r="U291" t="s">
        <v>467</v>
      </c>
      <c r="V291">
        <v>2</v>
      </c>
      <c r="W291" t="s">
        <v>213</v>
      </c>
      <c r="X291" t="s">
        <v>477</v>
      </c>
      <c r="Y291" t="s">
        <v>452</v>
      </c>
      <c r="Z291" t="s">
        <v>479</v>
      </c>
    </row>
    <row r="292" spans="1:26" x14ac:dyDescent="0.25">
      <c r="A292">
        <v>257</v>
      </c>
      <c r="B292" t="s">
        <v>419</v>
      </c>
      <c r="C292" t="s">
        <v>451</v>
      </c>
      <c r="D292">
        <v>3.5999999999999997E-2</v>
      </c>
      <c r="E292" t="s">
        <v>421</v>
      </c>
      <c r="F292">
        <v>44519</v>
      </c>
      <c r="G292" t="s">
        <v>422</v>
      </c>
      <c r="H292">
        <v>2210105675</v>
      </c>
      <c r="I292">
        <v>978774</v>
      </c>
      <c r="J292" t="s">
        <v>423</v>
      </c>
      <c r="K292" t="s">
        <v>424</v>
      </c>
      <c r="L292" t="s">
        <v>425</v>
      </c>
      <c r="M292">
        <v>934771</v>
      </c>
      <c r="N292" t="s">
        <v>426</v>
      </c>
      <c r="O292">
        <v>1530</v>
      </c>
      <c r="P292" t="s">
        <v>213</v>
      </c>
      <c r="Q292">
        <v>36187965</v>
      </c>
      <c r="R292">
        <v>215855312</v>
      </c>
      <c r="S292">
        <v>37.14575</v>
      </c>
      <c r="T292">
        <v>-93.429509999999993</v>
      </c>
      <c r="U292" t="s">
        <v>467</v>
      </c>
      <c r="V292">
        <v>2</v>
      </c>
      <c r="W292" t="s">
        <v>213</v>
      </c>
      <c r="X292" t="s">
        <v>477</v>
      </c>
      <c r="Y292" t="s">
        <v>452</v>
      </c>
      <c r="Z292" t="s">
        <v>479</v>
      </c>
    </row>
    <row r="293" spans="1:26" x14ac:dyDescent="0.25">
      <c r="A293">
        <v>258</v>
      </c>
      <c r="B293" t="s">
        <v>419</v>
      </c>
      <c r="C293" t="s">
        <v>435</v>
      </c>
      <c r="D293">
        <v>2.2189999999999999</v>
      </c>
      <c r="E293" t="s">
        <v>421</v>
      </c>
      <c r="F293">
        <v>44470</v>
      </c>
      <c r="G293" t="s">
        <v>422</v>
      </c>
      <c r="H293">
        <v>2210086580</v>
      </c>
      <c r="I293">
        <v>526664</v>
      </c>
      <c r="J293" t="s">
        <v>423</v>
      </c>
      <c r="K293" t="s">
        <v>439</v>
      </c>
      <c r="L293" t="s">
        <v>440</v>
      </c>
      <c r="M293">
        <v>2603</v>
      </c>
      <c r="N293" t="s">
        <v>426</v>
      </c>
      <c r="O293">
        <v>1652</v>
      </c>
      <c r="P293" t="s">
        <v>213</v>
      </c>
      <c r="Q293">
        <v>34308952</v>
      </c>
      <c r="R293">
        <v>213016870</v>
      </c>
      <c r="S293">
        <v>37.169249999999998</v>
      </c>
      <c r="T293">
        <v>-93.424090000000007</v>
      </c>
      <c r="U293" t="s">
        <v>467</v>
      </c>
      <c r="V293">
        <v>2</v>
      </c>
      <c r="W293" t="s">
        <v>213</v>
      </c>
      <c r="X293" t="s">
        <v>477</v>
      </c>
      <c r="Y293" t="s">
        <v>436</v>
      </c>
      <c r="Z293" t="s">
        <v>496</v>
      </c>
    </row>
    <row r="294" spans="1:26" x14ac:dyDescent="0.25">
      <c r="A294">
        <v>259</v>
      </c>
      <c r="B294" t="s">
        <v>419</v>
      </c>
      <c r="C294" t="s">
        <v>451</v>
      </c>
      <c r="D294">
        <v>4.9000000000000002E-2</v>
      </c>
      <c r="E294" t="s">
        <v>421</v>
      </c>
      <c r="F294">
        <v>44497</v>
      </c>
      <c r="G294" t="s">
        <v>422</v>
      </c>
      <c r="H294">
        <v>2210099181</v>
      </c>
      <c r="I294">
        <v>978774</v>
      </c>
      <c r="J294" t="s">
        <v>423</v>
      </c>
      <c r="K294" t="s">
        <v>439</v>
      </c>
      <c r="L294" t="s">
        <v>448</v>
      </c>
      <c r="M294">
        <v>934771</v>
      </c>
      <c r="N294" t="s">
        <v>453</v>
      </c>
      <c r="O294">
        <v>818</v>
      </c>
      <c r="P294" t="s">
        <v>213</v>
      </c>
      <c r="Q294">
        <v>34510924</v>
      </c>
      <c r="R294">
        <v>213592954</v>
      </c>
      <c r="S294">
        <v>37.145580000000002</v>
      </c>
      <c r="T294">
        <v>-93.42962</v>
      </c>
      <c r="U294" t="s">
        <v>467</v>
      </c>
      <c r="V294">
        <v>2</v>
      </c>
      <c r="W294" t="s">
        <v>213</v>
      </c>
      <c r="X294" t="s">
        <v>477</v>
      </c>
      <c r="Y294" t="s">
        <v>452</v>
      </c>
      <c r="Z294" t="s">
        <v>479</v>
      </c>
    </row>
    <row r="295" spans="1:26" x14ac:dyDescent="0.25">
      <c r="A295">
        <v>260</v>
      </c>
      <c r="B295" t="s">
        <v>419</v>
      </c>
      <c r="C295" t="s">
        <v>451</v>
      </c>
      <c r="D295">
        <v>3.5999999999999997E-2</v>
      </c>
      <c r="E295" t="s">
        <v>421</v>
      </c>
      <c r="F295">
        <v>44561</v>
      </c>
      <c r="G295" t="s">
        <v>422</v>
      </c>
      <c r="H295">
        <v>2210114403</v>
      </c>
      <c r="I295">
        <v>978774</v>
      </c>
      <c r="J295" t="s">
        <v>423</v>
      </c>
      <c r="K295" t="s">
        <v>424</v>
      </c>
      <c r="L295" t="s">
        <v>425</v>
      </c>
      <c r="M295">
        <v>934771</v>
      </c>
      <c r="N295" t="s">
        <v>426</v>
      </c>
      <c r="O295">
        <v>839</v>
      </c>
      <c r="P295" t="s">
        <v>213</v>
      </c>
      <c r="Q295">
        <v>36590123</v>
      </c>
      <c r="R295">
        <v>216741033</v>
      </c>
      <c r="S295">
        <v>37.14575</v>
      </c>
      <c r="T295">
        <v>-93.429509999999993</v>
      </c>
      <c r="U295" t="s">
        <v>467</v>
      </c>
      <c r="V295">
        <v>2</v>
      </c>
      <c r="W295" t="s">
        <v>213</v>
      </c>
      <c r="X295" t="s">
        <v>477</v>
      </c>
      <c r="Y295" t="s">
        <v>452</v>
      </c>
      <c r="Z295" t="s">
        <v>479</v>
      </c>
    </row>
    <row r="296" spans="1:26" x14ac:dyDescent="0.25">
      <c r="A296">
        <v>261</v>
      </c>
      <c r="B296" t="s">
        <v>419</v>
      </c>
      <c r="C296" t="s">
        <v>435</v>
      </c>
      <c r="D296">
        <v>1.6619999999999999</v>
      </c>
      <c r="E296" t="s">
        <v>421</v>
      </c>
      <c r="F296">
        <v>44538</v>
      </c>
      <c r="G296" t="s">
        <v>422</v>
      </c>
      <c r="H296">
        <v>2210108326</v>
      </c>
      <c r="I296">
        <v>653787</v>
      </c>
      <c r="J296" t="s">
        <v>438</v>
      </c>
      <c r="K296" t="s">
        <v>424</v>
      </c>
      <c r="L296" t="s">
        <v>425</v>
      </c>
      <c r="M296">
        <v>2603</v>
      </c>
      <c r="N296" t="s">
        <v>437</v>
      </c>
      <c r="O296">
        <v>1645</v>
      </c>
      <c r="P296" t="s">
        <v>213</v>
      </c>
      <c r="Q296">
        <v>36411015</v>
      </c>
      <c r="R296">
        <v>216334761</v>
      </c>
      <c r="S296">
        <v>37.177039999999998</v>
      </c>
      <c r="T296">
        <v>-93.424279999999996</v>
      </c>
      <c r="U296" t="s">
        <v>467</v>
      </c>
      <c r="V296">
        <v>3</v>
      </c>
      <c r="W296" t="s">
        <v>213</v>
      </c>
      <c r="X296" t="s">
        <v>485</v>
      </c>
      <c r="Y296" t="s">
        <v>436</v>
      </c>
      <c r="Z296" t="s">
        <v>521</v>
      </c>
    </row>
    <row r="297" spans="1:26" x14ac:dyDescent="0.25">
      <c r="A297">
        <v>262</v>
      </c>
      <c r="B297" t="s">
        <v>419</v>
      </c>
      <c r="C297" t="s">
        <v>550</v>
      </c>
      <c r="D297">
        <v>2E-3</v>
      </c>
      <c r="E297" t="s">
        <v>421</v>
      </c>
      <c r="F297">
        <v>44559</v>
      </c>
      <c r="G297" t="s">
        <v>422</v>
      </c>
      <c r="H297">
        <v>2210115076</v>
      </c>
      <c r="I297">
        <v>527743</v>
      </c>
      <c r="J297" t="s">
        <v>423</v>
      </c>
      <c r="K297" t="s">
        <v>424</v>
      </c>
      <c r="L297" t="s">
        <v>425</v>
      </c>
      <c r="M297">
        <v>1059447</v>
      </c>
      <c r="N297" t="s">
        <v>437</v>
      </c>
      <c r="O297">
        <v>1540</v>
      </c>
      <c r="P297" t="s">
        <v>213</v>
      </c>
      <c r="Q297">
        <v>36590274</v>
      </c>
      <c r="R297">
        <v>216741203</v>
      </c>
      <c r="S297">
        <v>37.1646</v>
      </c>
      <c r="T297">
        <v>-93.424189999999996</v>
      </c>
      <c r="U297" t="s">
        <v>465</v>
      </c>
      <c r="V297">
        <v>2</v>
      </c>
      <c r="W297" t="s">
        <v>213</v>
      </c>
      <c r="X297" t="s">
        <v>477</v>
      </c>
      <c r="Y297" t="s">
        <v>466</v>
      </c>
      <c r="Z297" t="s">
        <v>478</v>
      </c>
    </row>
    <row r="298" spans="1:26" x14ac:dyDescent="0.25">
      <c r="A298">
        <v>263</v>
      </c>
      <c r="B298" t="s">
        <v>419</v>
      </c>
      <c r="C298" t="s">
        <v>451</v>
      </c>
      <c r="D298">
        <v>4.9000000000000002E-2</v>
      </c>
      <c r="E298" t="s">
        <v>421</v>
      </c>
      <c r="F298">
        <v>44543</v>
      </c>
      <c r="G298" t="s">
        <v>422</v>
      </c>
      <c r="H298">
        <v>2210109672</v>
      </c>
      <c r="I298">
        <v>978774</v>
      </c>
      <c r="J298" t="s">
        <v>438</v>
      </c>
      <c r="K298" t="s">
        <v>424</v>
      </c>
      <c r="L298" t="s">
        <v>425</v>
      </c>
      <c r="M298">
        <v>934771</v>
      </c>
      <c r="N298" t="s">
        <v>433</v>
      </c>
      <c r="O298">
        <v>1815</v>
      </c>
      <c r="P298" t="s">
        <v>213</v>
      </c>
      <c r="Q298">
        <v>36466039</v>
      </c>
      <c r="R298">
        <v>216448254</v>
      </c>
      <c r="S298">
        <v>37.145580000000002</v>
      </c>
      <c r="T298">
        <v>-93.42962</v>
      </c>
      <c r="U298" t="s">
        <v>467</v>
      </c>
      <c r="V298">
        <v>2</v>
      </c>
      <c r="W298" t="s">
        <v>213</v>
      </c>
      <c r="X298" t="s">
        <v>477</v>
      </c>
      <c r="Y298" t="s">
        <v>452</v>
      </c>
      <c r="Z298" t="s">
        <v>479</v>
      </c>
    </row>
    <row r="299" spans="1:26" x14ac:dyDescent="0.25">
      <c r="A299">
        <v>264</v>
      </c>
      <c r="B299" t="s">
        <v>419</v>
      </c>
      <c r="C299" t="s">
        <v>451</v>
      </c>
      <c r="D299">
        <v>4.9000000000000002E-2</v>
      </c>
      <c r="E299" t="s">
        <v>421</v>
      </c>
      <c r="F299">
        <v>44543</v>
      </c>
      <c r="G299" t="s">
        <v>422</v>
      </c>
      <c r="H299">
        <v>2210109673</v>
      </c>
      <c r="I299">
        <v>978774</v>
      </c>
      <c r="J299" t="s">
        <v>423</v>
      </c>
      <c r="K299" t="s">
        <v>424</v>
      </c>
      <c r="L299" t="s">
        <v>425</v>
      </c>
      <c r="M299">
        <v>934771</v>
      </c>
      <c r="N299" t="s">
        <v>433</v>
      </c>
      <c r="O299">
        <v>1352</v>
      </c>
      <c r="P299" t="s">
        <v>213</v>
      </c>
      <c r="Q299">
        <v>36466041</v>
      </c>
      <c r="R299">
        <v>216448256</v>
      </c>
      <c r="S299">
        <v>37.145580000000002</v>
      </c>
      <c r="T299">
        <v>-93.42962</v>
      </c>
      <c r="U299" t="s">
        <v>467</v>
      </c>
      <c r="V299">
        <v>2</v>
      </c>
      <c r="W299" t="s">
        <v>213</v>
      </c>
      <c r="X299" t="s">
        <v>477</v>
      </c>
      <c r="Y299" t="s">
        <v>452</v>
      </c>
      <c r="Z299" t="s">
        <v>479</v>
      </c>
    </row>
    <row r="300" spans="1:26" x14ac:dyDescent="0.25">
      <c r="A300">
        <v>265</v>
      </c>
      <c r="B300" t="s">
        <v>419</v>
      </c>
      <c r="C300" t="s">
        <v>435</v>
      </c>
      <c r="D300">
        <v>1.6659999999999999</v>
      </c>
      <c r="E300" t="s">
        <v>551</v>
      </c>
      <c r="F300">
        <v>44536</v>
      </c>
      <c r="G300" t="s">
        <v>422</v>
      </c>
      <c r="H300">
        <v>2210105677</v>
      </c>
      <c r="I300">
        <v>653787</v>
      </c>
      <c r="J300" t="s">
        <v>423</v>
      </c>
      <c r="K300" t="s">
        <v>424</v>
      </c>
      <c r="L300" t="s">
        <v>425</v>
      </c>
      <c r="M300">
        <v>2603</v>
      </c>
      <c r="N300" t="s">
        <v>433</v>
      </c>
      <c r="O300">
        <v>701</v>
      </c>
      <c r="P300" t="s">
        <v>213</v>
      </c>
      <c r="Q300">
        <v>36330373</v>
      </c>
      <c r="R300">
        <v>216171598</v>
      </c>
      <c r="S300">
        <v>37.176990000000004</v>
      </c>
      <c r="T300">
        <v>-93.424300000000002</v>
      </c>
      <c r="U300" t="s">
        <v>467</v>
      </c>
      <c r="V300">
        <v>2</v>
      </c>
      <c r="W300" t="s">
        <v>213</v>
      </c>
      <c r="X300" t="s">
        <v>485</v>
      </c>
      <c r="Y300" t="s">
        <v>436</v>
      </c>
      <c r="Z300" t="s">
        <v>535</v>
      </c>
    </row>
    <row r="301" spans="1:26" x14ac:dyDescent="0.25">
      <c r="A301">
        <v>266</v>
      </c>
      <c r="B301" t="s">
        <v>419</v>
      </c>
      <c r="C301" t="s">
        <v>435</v>
      </c>
      <c r="D301">
        <v>1.6739999999999999</v>
      </c>
      <c r="E301" t="s">
        <v>447</v>
      </c>
      <c r="F301">
        <v>44508</v>
      </c>
      <c r="G301" t="s">
        <v>422</v>
      </c>
      <c r="H301">
        <v>2210101154</v>
      </c>
      <c r="I301">
        <v>653787</v>
      </c>
      <c r="J301" t="s">
        <v>438</v>
      </c>
      <c r="K301" t="s">
        <v>424</v>
      </c>
      <c r="L301" t="s">
        <v>425</v>
      </c>
      <c r="M301">
        <v>2603</v>
      </c>
      <c r="N301" t="s">
        <v>433</v>
      </c>
      <c r="O301">
        <v>436</v>
      </c>
      <c r="P301" t="s">
        <v>455</v>
      </c>
      <c r="Q301">
        <v>35988344</v>
      </c>
      <c r="R301">
        <v>215436512</v>
      </c>
      <c r="S301">
        <v>37.176879999999997</v>
      </c>
      <c r="T301">
        <v>-93.424340000000001</v>
      </c>
      <c r="U301" t="s">
        <v>467</v>
      </c>
      <c r="V301">
        <v>1</v>
      </c>
      <c r="W301" t="s">
        <v>506</v>
      </c>
      <c r="X301" t="s">
        <v>485</v>
      </c>
      <c r="Y301" t="s">
        <v>436</v>
      </c>
      <c r="Z301" t="s">
        <v>552</v>
      </c>
    </row>
    <row r="302" spans="1:26" x14ac:dyDescent="0.25">
      <c r="A302">
        <v>267</v>
      </c>
      <c r="B302" t="s">
        <v>419</v>
      </c>
      <c r="C302" t="s">
        <v>435</v>
      </c>
      <c r="D302">
        <v>2.2320000000000002</v>
      </c>
      <c r="E302" t="s">
        <v>421</v>
      </c>
      <c r="F302">
        <v>44364</v>
      </c>
      <c r="G302" t="s">
        <v>422</v>
      </c>
      <c r="H302">
        <v>2210055432</v>
      </c>
      <c r="I302">
        <v>526664</v>
      </c>
      <c r="J302" t="s">
        <v>423</v>
      </c>
      <c r="K302" t="s">
        <v>424</v>
      </c>
      <c r="L302" t="s">
        <v>425</v>
      </c>
      <c r="M302">
        <v>2603</v>
      </c>
      <c r="N302" t="s">
        <v>453</v>
      </c>
      <c r="O302">
        <v>1522</v>
      </c>
      <c r="P302" t="s">
        <v>213</v>
      </c>
      <c r="Q302">
        <v>31623989</v>
      </c>
      <c r="R302">
        <v>209313728</v>
      </c>
      <c r="S302">
        <v>37.169069999999998</v>
      </c>
      <c r="T302">
        <v>-93.424090000000007</v>
      </c>
      <c r="U302" t="s">
        <v>467</v>
      </c>
      <c r="V302">
        <v>2</v>
      </c>
      <c r="W302" t="s">
        <v>213</v>
      </c>
      <c r="X302" t="s">
        <v>477</v>
      </c>
      <c r="Y302" t="s">
        <v>436</v>
      </c>
      <c r="Z302" t="s">
        <v>496</v>
      </c>
    </row>
    <row r="303" spans="1:26" x14ac:dyDescent="0.25">
      <c r="A303">
        <v>268</v>
      </c>
      <c r="B303" t="s">
        <v>419</v>
      </c>
      <c r="C303" t="s">
        <v>420</v>
      </c>
      <c r="D303">
        <v>265.06799999999998</v>
      </c>
      <c r="E303" t="s">
        <v>421</v>
      </c>
      <c r="F303">
        <v>44396</v>
      </c>
      <c r="G303" t="s">
        <v>422</v>
      </c>
      <c r="H303">
        <v>2210065212</v>
      </c>
      <c r="I303">
        <v>532775</v>
      </c>
      <c r="J303" t="s">
        <v>423</v>
      </c>
      <c r="K303" t="s">
        <v>424</v>
      </c>
      <c r="L303" t="s">
        <v>425</v>
      </c>
      <c r="M303">
        <v>7783</v>
      </c>
      <c r="N303" t="s">
        <v>433</v>
      </c>
      <c r="O303">
        <v>1331</v>
      </c>
      <c r="P303" t="s">
        <v>213</v>
      </c>
      <c r="Q303">
        <v>35529883</v>
      </c>
      <c r="R303">
        <v>214957266</v>
      </c>
      <c r="S303">
        <v>37.145899999999997</v>
      </c>
      <c r="T303">
        <v>-93.428979999999996</v>
      </c>
      <c r="U303" t="s">
        <v>467</v>
      </c>
      <c r="V303">
        <v>2</v>
      </c>
      <c r="W303" t="s">
        <v>213</v>
      </c>
      <c r="X303" t="s">
        <v>477</v>
      </c>
      <c r="Y303" t="s">
        <v>427</v>
      </c>
      <c r="Z303" t="s">
        <v>480</v>
      </c>
    </row>
    <row r="304" spans="1:26" x14ac:dyDescent="0.25">
      <c r="A304">
        <v>269</v>
      </c>
      <c r="B304" t="s">
        <v>419</v>
      </c>
      <c r="C304" t="s">
        <v>429</v>
      </c>
      <c r="D304">
        <v>75.594999999999999</v>
      </c>
      <c r="E304" t="s">
        <v>428</v>
      </c>
      <c r="F304">
        <v>44450</v>
      </c>
      <c r="G304" t="s">
        <v>442</v>
      </c>
      <c r="H304">
        <v>2210077946</v>
      </c>
      <c r="I304">
        <v>532832</v>
      </c>
      <c r="J304" t="s">
        <v>423</v>
      </c>
      <c r="K304" t="s">
        <v>424</v>
      </c>
      <c r="L304" t="s">
        <v>425</v>
      </c>
      <c r="M304">
        <v>7782</v>
      </c>
      <c r="N304" t="s">
        <v>432</v>
      </c>
      <c r="O304">
        <v>1810</v>
      </c>
      <c r="P304" t="s">
        <v>213</v>
      </c>
      <c r="Q304">
        <v>32270968</v>
      </c>
      <c r="R304">
        <v>210501538</v>
      </c>
      <c r="S304">
        <v>37.145699999999998</v>
      </c>
      <c r="T304">
        <v>-93.428960000000004</v>
      </c>
      <c r="U304" t="s">
        <v>467</v>
      </c>
      <c r="V304">
        <v>2</v>
      </c>
      <c r="W304" t="s">
        <v>213</v>
      </c>
      <c r="X304" t="s">
        <v>477</v>
      </c>
      <c r="Y304" t="s">
        <v>427</v>
      </c>
      <c r="Z304" t="s">
        <v>499</v>
      </c>
    </row>
    <row r="305" spans="1:26" x14ac:dyDescent="0.25">
      <c r="A305">
        <v>270</v>
      </c>
      <c r="B305" t="s">
        <v>419</v>
      </c>
      <c r="C305" t="s">
        <v>420</v>
      </c>
      <c r="D305">
        <v>265.07299999999998</v>
      </c>
      <c r="E305" t="s">
        <v>464</v>
      </c>
      <c r="F305">
        <v>44337</v>
      </c>
      <c r="G305" t="s">
        <v>422</v>
      </c>
      <c r="H305">
        <v>2210046232</v>
      </c>
      <c r="I305">
        <v>532775</v>
      </c>
      <c r="J305" t="s">
        <v>423</v>
      </c>
      <c r="K305" t="s">
        <v>439</v>
      </c>
      <c r="L305" t="s">
        <v>448</v>
      </c>
      <c r="M305">
        <v>7783</v>
      </c>
      <c r="N305" t="s">
        <v>426</v>
      </c>
      <c r="O305">
        <v>1749</v>
      </c>
      <c r="P305" t="s">
        <v>213</v>
      </c>
      <c r="Q305">
        <v>35528790</v>
      </c>
      <c r="R305">
        <v>214953711</v>
      </c>
      <c r="S305">
        <v>37.145859999999999</v>
      </c>
      <c r="T305">
        <v>-93.429060000000007</v>
      </c>
      <c r="U305" t="s">
        <v>467</v>
      </c>
      <c r="V305">
        <v>3</v>
      </c>
      <c r="W305" t="s">
        <v>213</v>
      </c>
      <c r="X305" t="s">
        <v>477</v>
      </c>
      <c r="Y305" t="s">
        <v>427</v>
      </c>
      <c r="Z305" t="s">
        <v>480</v>
      </c>
    </row>
    <row r="306" spans="1:26" x14ac:dyDescent="0.25">
      <c r="A306">
        <v>271</v>
      </c>
      <c r="B306" t="s">
        <v>419</v>
      </c>
      <c r="C306" t="s">
        <v>435</v>
      </c>
      <c r="D306">
        <v>1.2529999999999999</v>
      </c>
      <c r="E306" t="s">
        <v>421</v>
      </c>
      <c r="F306">
        <v>44326</v>
      </c>
      <c r="G306" t="s">
        <v>422</v>
      </c>
      <c r="H306">
        <v>2210044249</v>
      </c>
      <c r="I306">
        <v>0</v>
      </c>
      <c r="J306" t="s">
        <v>423</v>
      </c>
      <c r="K306" t="s">
        <v>424</v>
      </c>
      <c r="L306" t="s">
        <v>425</v>
      </c>
      <c r="M306">
        <v>2603</v>
      </c>
      <c r="N306" t="s">
        <v>433</v>
      </c>
      <c r="O306">
        <v>1424</v>
      </c>
      <c r="P306" t="s">
        <v>213</v>
      </c>
      <c r="Q306">
        <v>29522854</v>
      </c>
      <c r="R306">
        <v>206616210</v>
      </c>
      <c r="S306">
        <v>37.182940000000002</v>
      </c>
      <c r="T306">
        <v>-93.42371</v>
      </c>
      <c r="U306" t="s">
        <v>467</v>
      </c>
      <c r="V306">
        <v>2</v>
      </c>
      <c r="W306" t="s">
        <v>213</v>
      </c>
      <c r="X306" t="s">
        <v>477</v>
      </c>
      <c r="Y306" t="s">
        <v>436</v>
      </c>
      <c r="Z306" t="s">
        <v>483</v>
      </c>
    </row>
    <row r="307" spans="1:26" x14ac:dyDescent="0.25">
      <c r="A307">
        <v>272</v>
      </c>
      <c r="B307" t="s">
        <v>419</v>
      </c>
      <c r="C307" t="s">
        <v>451</v>
      </c>
      <c r="D307">
        <v>3.6999999999999998E-2</v>
      </c>
      <c r="E307" t="s">
        <v>421</v>
      </c>
      <c r="F307">
        <v>44410</v>
      </c>
      <c r="G307" t="s">
        <v>422</v>
      </c>
      <c r="H307">
        <v>2210065495</v>
      </c>
      <c r="I307">
        <v>978774</v>
      </c>
      <c r="J307" t="s">
        <v>423</v>
      </c>
      <c r="K307" t="s">
        <v>424</v>
      </c>
      <c r="L307" t="s">
        <v>425</v>
      </c>
      <c r="M307">
        <v>934771</v>
      </c>
      <c r="N307" t="s">
        <v>433</v>
      </c>
      <c r="O307">
        <v>832</v>
      </c>
      <c r="P307" t="s">
        <v>213</v>
      </c>
      <c r="Q307">
        <v>32112605</v>
      </c>
      <c r="R307">
        <v>210127222</v>
      </c>
      <c r="S307">
        <v>37.145740000000004</v>
      </c>
      <c r="T307">
        <v>-93.429519999999997</v>
      </c>
      <c r="U307" t="s">
        <v>467</v>
      </c>
      <c r="V307">
        <v>2</v>
      </c>
      <c r="W307" t="s">
        <v>213</v>
      </c>
      <c r="X307" t="s">
        <v>477</v>
      </c>
      <c r="Y307" t="s">
        <v>452</v>
      </c>
      <c r="Z307" t="s">
        <v>479</v>
      </c>
    </row>
  </sheetData>
  <mergeCells count="20">
    <mergeCell ref="C10:D10"/>
    <mergeCell ref="C11:D11"/>
    <mergeCell ref="B3:E3"/>
    <mergeCell ref="B8:E8"/>
    <mergeCell ref="C4:D4"/>
    <mergeCell ref="C5:D5"/>
    <mergeCell ref="C6:D6"/>
    <mergeCell ref="C9:D9"/>
    <mergeCell ref="C21:D21"/>
    <mergeCell ref="B23:E23"/>
    <mergeCell ref="C25:D25"/>
    <mergeCell ref="C26:D26"/>
    <mergeCell ref="B13:E13"/>
    <mergeCell ref="C15:D15"/>
    <mergeCell ref="C16:D16"/>
    <mergeCell ref="B18:E18"/>
    <mergeCell ref="C20:D20"/>
    <mergeCell ref="C14:D14"/>
    <mergeCell ref="C19:D19"/>
    <mergeCell ref="C24:D2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9336-CA94-4881-AB91-41F5723C57F1}">
  <dimension ref="A1:N234"/>
  <sheetViews>
    <sheetView topLeftCell="A223" workbookViewId="0">
      <selection activeCell="P11" sqref="P11"/>
    </sheetView>
  </sheetViews>
  <sheetFormatPr defaultRowHeight="15" x14ac:dyDescent="0.25"/>
  <cols>
    <col min="1" max="1" width="4" bestFit="1" customWidth="1"/>
    <col min="2" max="2" width="9" bestFit="1" customWidth="1"/>
    <col min="3" max="3" width="15.85546875" bestFit="1" customWidth="1"/>
    <col min="4" max="4" width="12.5703125" bestFit="1" customWidth="1"/>
    <col min="5" max="5" width="18" bestFit="1" customWidth="1"/>
    <col min="7" max="7" width="7.140625" bestFit="1" customWidth="1"/>
    <col min="8" max="8" width="12.7109375" bestFit="1" customWidth="1"/>
    <col min="9" max="9" width="13.28515625" bestFit="1" customWidth="1"/>
    <col min="10" max="10" width="9.85546875" bestFit="1" customWidth="1"/>
    <col min="11" max="11" width="13.42578125" bestFit="1" customWidth="1"/>
    <col min="12" max="12" width="14.7109375" bestFit="1" customWidth="1"/>
    <col min="13" max="14" width="12.5703125" bestFit="1" customWidth="1"/>
  </cols>
  <sheetData>
    <row r="1" spans="1:14" ht="16.5" thickBot="1" x14ac:dyDescent="0.3">
      <c r="A1" s="42" t="s">
        <v>199</v>
      </c>
      <c r="B1" s="42" t="s">
        <v>200</v>
      </c>
      <c r="C1" s="42" t="s">
        <v>201</v>
      </c>
      <c r="D1" s="42" t="s">
        <v>202</v>
      </c>
      <c r="E1" s="42" t="s">
        <v>203</v>
      </c>
      <c r="F1" s="42" t="s">
        <v>204</v>
      </c>
      <c r="G1" s="42" t="s">
        <v>205</v>
      </c>
      <c r="H1" s="42" t="s">
        <v>206</v>
      </c>
      <c r="I1" s="42" t="s">
        <v>207</v>
      </c>
      <c r="J1" s="42" t="s">
        <v>208</v>
      </c>
      <c r="K1" s="42" t="s">
        <v>209</v>
      </c>
      <c r="L1" s="42" t="s">
        <v>210</v>
      </c>
      <c r="M1" s="42" t="s">
        <v>211</v>
      </c>
      <c r="N1" s="42" t="s">
        <v>212</v>
      </c>
    </row>
    <row r="2" spans="1:14" x14ac:dyDescent="0.25">
      <c r="A2">
        <v>0</v>
      </c>
      <c r="B2">
        <v>155559</v>
      </c>
      <c r="C2">
        <v>200031150</v>
      </c>
      <c r="D2">
        <v>200074067</v>
      </c>
      <c r="E2" t="s">
        <v>213</v>
      </c>
      <c r="F2" t="s">
        <v>214</v>
      </c>
      <c r="G2" t="s">
        <v>215</v>
      </c>
      <c r="H2">
        <v>20</v>
      </c>
      <c r="I2">
        <v>21</v>
      </c>
      <c r="J2">
        <v>1</v>
      </c>
      <c r="K2">
        <v>4039.489990234375</v>
      </c>
      <c r="L2">
        <v>3128</v>
      </c>
      <c r="M2">
        <v>10000</v>
      </c>
      <c r="N2">
        <v>40</v>
      </c>
    </row>
    <row r="3" spans="1:14" x14ac:dyDescent="0.25">
      <c r="A3">
        <v>1</v>
      </c>
      <c r="B3">
        <v>155568</v>
      </c>
      <c r="C3">
        <v>200074067</v>
      </c>
      <c r="D3">
        <v>200071497</v>
      </c>
      <c r="E3" t="s">
        <v>213</v>
      </c>
      <c r="F3" t="s">
        <v>216</v>
      </c>
      <c r="G3" t="s">
        <v>215</v>
      </c>
      <c r="H3">
        <v>20</v>
      </c>
      <c r="I3">
        <v>21</v>
      </c>
      <c r="J3">
        <v>1</v>
      </c>
      <c r="K3">
        <v>3188.300048828125</v>
      </c>
      <c r="L3">
        <v>2977</v>
      </c>
      <c r="M3">
        <v>10000</v>
      </c>
      <c r="N3">
        <v>32</v>
      </c>
    </row>
    <row r="4" spans="1:14" x14ac:dyDescent="0.25">
      <c r="A4">
        <v>2</v>
      </c>
      <c r="B4">
        <v>155569</v>
      </c>
      <c r="C4">
        <v>200077051</v>
      </c>
      <c r="D4">
        <v>200019154</v>
      </c>
      <c r="E4" t="s">
        <v>213</v>
      </c>
      <c r="F4" t="s">
        <v>217</v>
      </c>
      <c r="G4" t="s">
        <v>215</v>
      </c>
      <c r="H4">
        <v>18</v>
      </c>
      <c r="I4">
        <v>21</v>
      </c>
      <c r="J4">
        <v>3</v>
      </c>
      <c r="K4">
        <v>6729.56005859375</v>
      </c>
      <c r="L4">
        <v>5188</v>
      </c>
      <c r="M4">
        <v>10000</v>
      </c>
      <c r="N4">
        <v>67</v>
      </c>
    </row>
    <row r="5" spans="1:14" x14ac:dyDescent="0.25">
      <c r="A5">
        <v>3</v>
      </c>
      <c r="B5">
        <v>155570</v>
      </c>
      <c r="C5">
        <v>200082684</v>
      </c>
      <c r="D5">
        <v>200077051</v>
      </c>
      <c r="E5" t="s">
        <v>213</v>
      </c>
      <c r="F5" t="s">
        <v>218</v>
      </c>
      <c r="G5" t="s">
        <v>215</v>
      </c>
      <c r="H5">
        <v>23</v>
      </c>
      <c r="I5">
        <v>23</v>
      </c>
      <c r="J5">
        <v>0</v>
      </c>
      <c r="K5">
        <v>999.17999267578125</v>
      </c>
      <c r="L5">
        <v>748</v>
      </c>
      <c r="M5">
        <v>10000</v>
      </c>
      <c r="N5">
        <v>10</v>
      </c>
    </row>
    <row r="6" spans="1:14" x14ac:dyDescent="0.25">
      <c r="A6">
        <v>4</v>
      </c>
      <c r="B6">
        <v>155580</v>
      </c>
      <c r="C6">
        <v>200077051</v>
      </c>
      <c r="D6">
        <v>200203651</v>
      </c>
      <c r="E6" t="s">
        <v>219</v>
      </c>
      <c r="F6" t="s">
        <v>220</v>
      </c>
      <c r="G6" t="s">
        <v>221</v>
      </c>
      <c r="H6">
        <v>8</v>
      </c>
      <c r="I6">
        <v>8</v>
      </c>
      <c r="J6">
        <v>0</v>
      </c>
      <c r="K6">
        <v>10461.9501953125</v>
      </c>
      <c r="L6">
        <v>8611</v>
      </c>
      <c r="M6">
        <v>16900</v>
      </c>
      <c r="N6">
        <v>62</v>
      </c>
    </row>
    <row r="7" spans="1:14" x14ac:dyDescent="0.25">
      <c r="A7">
        <v>5</v>
      </c>
      <c r="B7">
        <v>155580</v>
      </c>
      <c r="C7">
        <v>200203651</v>
      </c>
      <c r="D7">
        <v>200077051</v>
      </c>
      <c r="E7" t="s">
        <v>219</v>
      </c>
      <c r="F7" t="s">
        <v>220</v>
      </c>
      <c r="G7" t="s">
        <v>221</v>
      </c>
      <c r="H7">
        <v>8</v>
      </c>
      <c r="I7">
        <v>9</v>
      </c>
      <c r="J7">
        <v>1</v>
      </c>
      <c r="K7">
        <v>14141.08984375</v>
      </c>
      <c r="L7">
        <v>11823</v>
      </c>
      <c r="M7">
        <v>16900</v>
      </c>
      <c r="N7">
        <v>84</v>
      </c>
    </row>
    <row r="8" spans="1:14" x14ac:dyDescent="0.25">
      <c r="A8">
        <v>6</v>
      </c>
      <c r="B8">
        <v>156152</v>
      </c>
      <c r="C8">
        <v>200071497</v>
      </c>
      <c r="D8">
        <v>200028166</v>
      </c>
      <c r="E8" t="s">
        <v>222</v>
      </c>
      <c r="F8" t="s">
        <v>223</v>
      </c>
      <c r="G8" t="s">
        <v>224</v>
      </c>
      <c r="H8">
        <v>3</v>
      </c>
      <c r="I8">
        <v>3</v>
      </c>
      <c r="J8">
        <v>0</v>
      </c>
      <c r="K8">
        <v>25479.109375</v>
      </c>
      <c r="L8">
        <v>20023</v>
      </c>
      <c r="M8">
        <v>52500</v>
      </c>
      <c r="N8">
        <v>49</v>
      </c>
    </row>
    <row r="9" spans="1:14" x14ac:dyDescent="0.25">
      <c r="A9">
        <v>7</v>
      </c>
      <c r="B9">
        <v>156158</v>
      </c>
      <c r="C9">
        <v>200019154</v>
      </c>
      <c r="D9">
        <v>200018785</v>
      </c>
      <c r="E9" t="s">
        <v>225</v>
      </c>
      <c r="F9" t="s">
        <v>226</v>
      </c>
      <c r="G9" t="s">
        <v>224</v>
      </c>
      <c r="H9">
        <v>2</v>
      </c>
      <c r="I9">
        <v>2</v>
      </c>
      <c r="J9">
        <v>0</v>
      </c>
      <c r="K9">
        <v>28145.990234375</v>
      </c>
      <c r="L9">
        <v>21683</v>
      </c>
      <c r="M9">
        <v>52500</v>
      </c>
      <c r="N9">
        <v>54</v>
      </c>
    </row>
    <row r="10" spans="1:14" x14ac:dyDescent="0.25">
      <c r="A10">
        <v>8</v>
      </c>
      <c r="B10">
        <v>156163</v>
      </c>
      <c r="C10">
        <v>200077423</v>
      </c>
      <c r="D10">
        <v>200024773</v>
      </c>
      <c r="E10" t="s">
        <v>225</v>
      </c>
      <c r="F10" t="s">
        <v>227</v>
      </c>
      <c r="G10" t="s">
        <v>224</v>
      </c>
      <c r="H10">
        <v>2</v>
      </c>
      <c r="I10">
        <v>2</v>
      </c>
      <c r="J10">
        <v>0</v>
      </c>
      <c r="K10">
        <v>22415.609375</v>
      </c>
      <c r="L10">
        <v>17243</v>
      </c>
      <c r="M10">
        <v>52500</v>
      </c>
      <c r="N10">
        <v>43</v>
      </c>
    </row>
    <row r="11" spans="1:14" x14ac:dyDescent="0.25">
      <c r="A11">
        <v>9</v>
      </c>
      <c r="B11">
        <v>158499</v>
      </c>
      <c r="C11">
        <v>200066924</v>
      </c>
      <c r="D11">
        <v>200028133</v>
      </c>
      <c r="E11" t="s">
        <v>228</v>
      </c>
      <c r="F11" t="s">
        <v>229</v>
      </c>
      <c r="G11" t="s">
        <v>224</v>
      </c>
      <c r="H11">
        <v>60</v>
      </c>
      <c r="I11">
        <v>61</v>
      </c>
      <c r="J11">
        <v>1</v>
      </c>
      <c r="K11">
        <v>10742.580078125</v>
      </c>
      <c r="L11">
        <v>8787</v>
      </c>
      <c r="M11">
        <v>35000</v>
      </c>
      <c r="N11">
        <v>31</v>
      </c>
    </row>
    <row r="12" spans="1:14" x14ac:dyDescent="0.25">
      <c r="A12">
        <v>10</v>
      </c>
      <c r="B12">
        <v>158656</v>
      </c>
      <c r="C12">
        <v>200020249</v>
      </c>
      <c r="D12">
        <v>200080357</v>
      </c>
      <c r="E12" t="s">
        <v>230</v>
      </c>
      <c r="F12" t="s">
        <v>231</v>
      </c>
      <c r="G12" t="s">
        <v>232</v>
      </c>
      <c r="H12">
        <v>4</v>
      </c>
      <c r="I12">
        <v>4</v>
      </c>
      <c r="J12">
        <v>0</v>
      </c>
      <c r="K12">
        <v>15916.5498046875</v>
      </c>
      <c r="L12">
        <v>14350</v>
      </c>
      <c r="M12">
        <v>19900</v>
      </c>
      <c r="N12">
        <v>80</v>
      </c>
    </row>
    <row r="13" spans="1:14" x14ac:dyDescent="0.25">
      <c r="A13">
        <v>11</v>
      </c>
      <c r="B13">
        <v>158684</v>
      </c>
      <c r="C13">
        <v>200074726</v>
      </c>
      <c r="D13">
        <v>200030818</v>
      </c>
      <c r="E13" t="s">
        <v>222</v>
      </c>
      <c r="F13" t="s">
        <v>233</v>
      </c>
      <c r="G13" t="s">
        <v>224</v>
      </c>
      <c r="H13">
        <v>3</v>
      </c>
      <c r="I13">
        <v>4</v>
      </c>
      <c r="J13">
        <v>0</v>
      </c>
      <c r="K13">
        <v>30530.470703125</v>
      </c>
      <c r="L13">
        <v>23222</v>
      </c>
      <c r="M13">
        <v>52500</v>
      </c>
      <c r="N13">
        <v>58</v>
      </c>
    </row>
    <row r="14" spans="1:14" x14ac:dyDescent="0.25">
      <c r="A14">
        <v>12</v>
      </c>
      <c r="B14">
        <v>159349</v>
      </c>
      <c r="C14">
        <v>200193452</v>
      </c>
      <c r="D14">
        <v>200215436</v>
      </c>
      <c r="E14" t="s">
        <v>219</v>
      </c>
      <c r="F14" t="s">
        <v>234</v>
      </c>
      <c r="G14" t="s">
        <v>235</v>
      </c>
      <c r="H14">
        <v>21</v>
      </c>
      <c r="I14">
        <v>102</v>
      </c>
      <c r="J14">
        <v>81</v>
      </c>
      <c r="K14">
        <v>13596.76953125</v>
      </c>
      <c r="L14">
        <v>11360</v>
      </c>
      <c r="M14">
        <v>7800</v>
      </c>
      <c r="N14">
        <v>174</v>
      </c>
    </row>
    <row r="15" spans="1:14" x14ac:dyDescent="0.25">
      <c r="A15">
        <v>13</v>
      </c>
      <c r="B15">
        <v>159349</v>
      </c>
      <c r="C15">
        <v>200215436</v>
      </c>
      <c r="D15">
        <v>200193452</v>
      </c>
      <c r="E15" t="s">
        <v>219</v>
      </c>
      <c r="F15" t="s">
        <v>234</v>
      </c>
      <c r="G15" t="s">
        <v>235</v>
      </c>
      <c r="H15">
        <v>21</v>
      </c>
      <c r="I15">
        <v>82</v>
      </c>
      <c r="J15">
        <v>61</v>
      </c>
      <c r="K15">
        <v>13104.7001953125</v>
      </c>
      <c r="L15">
        <v>11065</v>
      </c>
      <c r="M15">
        <v>7800</v>
      </c>
      <c r="N15">
        <v>168</v>
      </c>
    </row>
    <row r="16" spans="1:14" x14ac:dyDescent="0.25">
      <c r="A16">
        <v>14</v>
      </c>
      <c r="B16">
        <v>159370</v>
      </c>
      <c r="C16">
        <v>200072551</v>
      </c>
      <c r="D16">
        <v>200205241</v>
      </c>
      <c r="E16" t="s">
        <v>213</v>
      </c>
      <c r="F16" t="s">
        <v>236</v>
      </c>
      <c r="G16" t="s">
        <v>237</v>
      </c>
      <c r="H16">
        <v>3</v>
      </c>
      <c r="I16">
        <v>3</v>
      </c>
      <c r="J16">
        <v>0</v>
      </c>
      <c r="K16">
        <v>657.77001953125</v>
      </c>
      <c r="L16">
        <v>572</v>
      </c>
      <c r="M16">
        <v>10000</v>
      </c>
      <c r="N16">
        <v>7</v>
      </c>
    </row>
    <row r="17" spans="1:14" x14ac:dyDescent="0.25">
      <c r="A17">
        <v>15</v>
      </c>
      <c r="B17">
        <v>159371</v>
      </c>
      <c r="C17">
        <v>200072551</v>
      </c>
      <c r="D17">
        <v>200020643</v>
      </c>
      <c r="E17" t="s">
        <v>213</v>
      </c>
      <c r="F17" t="s">
        <v>238</v>
      </c>
      <c r="G17" t="s">
        <v>237</v>
      </c>
      <c r="H17">
        <v>2</v>
      </c>
      <c r="I17">
        <v>2</v>
      </c>
      <c r="J17">
        <v>0</v>
      </c>
      <c r="K17">
        <v>6301.52978515625</v>
      </c>
      <c r="L17">
        <v>5867</v>
      </c>
      <c r="M17">
        <v>10000</v>
      </c>
      <c r="N17">
        <v>63</v>
      </c>
    </row>
    <row r="18" spans="1:14" x14ac:dyDescent="0.25">
      <c r="A18">
        <v>16</v>
      </c>
      <c r="B18">
        <v>159384</v>
      </c>
      <c r="C18">
        <v>200213622</v>
      </c>
      <c r="D18">
        <v>200215790</v>
      </c>
      <c r="E18" t="s">
        <v>213</v>
      </c>
      <c r="F18" t="s">
        <v>239</v>
      </c>
      <c r="G18" t="s">
        <v>221</v>
      </c>
      <c r="H18">
        <v>1</v>
      </c>
      <c r="I18">
        <v>1</v>
      </c>
      <c r="J18">
        <v>0</v>
      </c>
      <c r="K18">
        <v>1269.530029296875</v>
      </c>
      <c r="L18">
        <v>1195</v>
      </c>
      <c r="M18">
        <v>9950</v>
      </c>
      <c r="N18">
        <v>13</v>
      </c>
    </row>
    <row r="19" spans="1:14" x14ac:dyDescent="0.25">
      <c r="A19">
        <v>17</v>
      </c>
      <c r="B19">
        <v>159384</v>
      </c>
      <c r="C19">
        <v>200215790</v>
      </c>
      <c r="D19">
        <v>200213622</v>
      </c>
      <c r="E19" t="s">
        <v>213</v>
      </c>
      <c r="F19" t="s">
        <v>239</v>
      </c>
      <c r="G19" t="s">
        <v>221</v>
      </c>
      <c r="H19">
        <v>1</v>
      </c>
      <c r="I19">
        <v>1</v>
      </c>
      <c r="J19">
        <v>0</v>
      </c>
      <c r="K19">
        <v>0</v>
      </c>
      <c r="L19">
        <v>0</v>
      </c>
      <c r="M19">
        <v>9950</v>
      </c>
      <c r="N19">
        <v>0</v>
      </c>
    </row>
    <row r="20" spans="1:14" x14ac:dyDescent="0.25">
      <c r="A20">
        <v>18</v>
      </c>
      <c r="B20">
        <v>159385</v>
      </c>
      <c r="C20">
        <v>200215790</v>
      </c>
      <c r="D20">
        <v>200205402</v>
      </c>
      <c r="E20" t="s">
        <v>240</v>
      </c>
      <c r="F20" t="s">
        <v>241</v>
      </c>
      <c r="G20" t="s">
        <v>232</v>
      </c>
      <c r="H20">
        <v>9</v>
      </c>
      <c r="I20">
        <v>10</v>
      </c>
      <c r="J20">
        <v>2</v>
      </c>
      <c r="K20">
        <v>20418.19921875</v>
      </c>
      <c r="L20">
        <v>18293</v>
      </c>
      <c r="M20">
        <v>19900</v>
      </c>
      <c r="N20">
        <v>103</v>
      </c>
    </row>
    <row r="21" spans="1:14" x14ac:dyDescent="0.25">
      <c r="A21">
        <v>19</v>
      </c>
      <c r="B21">
        <v>159537</v>
      </c>
      <c r="C21">
        <v>200200624</v>
      </c>
      <c r="D21">
        <v>200202827</v>
      </c>
      <c r="E21" t="s">
        <v>213</v>
      </c>
      <c r="F21" t="s">
        <v>239</v>
      </c>
      <c r="G21" t="s">
        <v>242</v>
      </c>
      <c r="H21">
        <v>3</v>
      </c>
      <c r="I21">
        <v>3</v>
      </c>
      <c r="J21">
        <v>0</v>
      </c>
      <c r="K21">
        <v>2859.330078125</v>
      </c>
      <c r="L21">
        <v>1940</v>
      </c>
      <c r="M21">
        <v>10000</v>
      </c>
      <c r="N21">
        <v>29</v>
      </c>
    </row>
    <row r="22" spans="1:14" x14ac:dyDescent="0.25">
      <c r="A22">
        <v>20</v>
      </c>
      <c r="B22">
        <v>159537</v>
      </c>
      <c r="C22">
        <v>200202827</v>
      </c>
      <c r="D22">
        <v>200200624</v>
      </c>
      <c r="E22" t="s">
        <v>213</v>
      </c>
      <c r="F22" t="s">
        <v>239</v>
      </c>
      <c r="G22" t="s">
        <v>242</v>
      </c>
      <c r="H22">
        <v>3</v>
      </c>
      <c r="I22">
        <v>3</v>
      </c>
      <c r="J22">
        <v>0</v>
      </c>
      <c r="K22">
        <v>0</v>
      </c>
      <c r="L22">
        <v>0</v>
      </c>
      <c r="M22">
        <v>10000</v>
      </c>
      <c r="N22">
        <v>0</v>
      </c>
    </row>
    <row r="23" spans="1:14" x14ac:dyDescent="0.25">
      <c r="A23">
        <v>21</v>
      </c>
      <c r="B23">
        <v>159729</v>
      </c>
      <c r="C23">
        <v>200017574</v>
      </c>
      <c r="D23">
        <v>200211959</v>
      </c>
      <c r="E23" t="s">
        <v>240</v>
      </c>
      <c r="F23" t="s">
        <v>243</v>
      </c>
      <c r="G23" t="s">
        <v>232</v>
      </c>
      <c r="H23">
        <v>1</v>
      </c>
      <c r="I23">
        <v>1</v>
      </c>
      <c r="J23">
        <v>0</v>
      </c>
      <c r="K23">
        <v>0</v>
      </c>
      <c r="L23">
        <v>0</v>
      </c>
      <c r="M23">
        <v>17750</v>
      </c>
      <c r="N23">
        <v>0</v>
      </c>
    </row>
    <row r="24" spans="1:14" x14ac:dyDescent="0.25">
      <c r="A24">
        <v>22</v>
      </c>
      <c r="B24">
        <v>159730</v>
      </c>
      <c r="C24">
        <v>200017574</v>
      </c>
      <c r="D24">
        <v>200203054</v>
      </c>
      <c r="E24" t="s">
        <v>219</v>
      </c>
      <c r="F24" t="s">
        <v>239</v>
      </c>
      <c r="G24" t="s">
        <v>244</v>
      </c>
      <c r="H24">
        <v>2</v>
      </c>
      <c r="I24">
        <v>2</v>
      </c>
      <c r="J24">
        <v>0</v>
      </c>
      <c r="K24">
        <v>0</v>
      </c>
      <c r="L24">
        <v>0</v>
      </c>
      <c r="M24">
        <v>7900</v>
      </c>
      <c r="N24">
        <v>0</v>
      </c>
    </row>
    <row r="25" spans="1:14" x14ac:dyDescent="0.25">
      <c r="A25">
        <v>23</v>
      </c>
      <c r="B25">
        <v>159730</v>
      </c>
      <c r="C25">
        <v>200203054</v>
      </c>
      <c r="D25">
        <v>200017574</v>
      </c>
      <c r="E25" t="s">
        <v>219</v>
      </c>
      <c r="F25" t="s">
        <v>239</v>
      </c>
      <c r="G25" t="s">
        <v>244</v>
      </c>
      <c r="H25">
        <v>2</v>
      </c>
      <c r="I25">
        <v>2</v>
      </c>
      <c r="J25">
        <v>0</v>
      </c>
      <c r="K25">
        <v>0</v>
      </c>
      <c r="L25">
        <v>0</v>
      </c>
      <c r="M25">
        <v>7900</v>
      </c>
      <c r="N25">
        <v>0</v>
      </c>
    </row>
    <row r="26" spans="1:14" x14ac:dyDescent="0.25">
      <c r="A26">
        <v>24</v>
      </c>
      <c r="B26">
        <v>159731</v>
      </c>
      <c r="C26">
        <v>200211673</v>
      </c>
      <c r="D26">
        <v>200017574</v>
      </c>
      <c r="E26" t="s">
        <v>240</v>
      </c>
      <c r="F26" t="s">
        <v>245</v>
      </c>
      <c r="G26" t="s">
        <v>221</v>
      </c>
      <c r="H26">
        <v>2</v>
      </c>
      <c r="I26">
        <v>2</v>
      </c>
      <c r="J26">
        <v>0</v>
      </c>
      <c r="K26">
        <v>0</v>
      </c>
      <c r="L26">
        <v>0</v>
      </c>
      <c r="M26">
        <v>26625</v>
      </c>
      <c r="N26">
        <v>0</v>
      </c>
    </row>
    <row r="27" spans="1:14" x14ac:dyDescent="0.25">
      <c r="A27">
        <v>25</v>
      </c>
      <c r="B27">
        <v>159732</v>
      </c>
      <c r="C27">
        <v>200029513</v>
      </c>
      <c r="D27">
        <v>200211959</v>
      </c>
      <c r="E27" t="s">
        <v>213</v>
      </c>
      <c r="F27" t="s">
        <v>246</v>
      </c>
      <c r="G27" t="s">
        <v>242</v>
      </c>
      <c r="H27">
        <v>8</v>
      </c>
      <c r="I27">
        <v>8</v>
      </c>
      <c r="J27">
        <v>0</v>
      </c>
      <c r="K27">
        <v>0</v>
      </c>
      <c r="L27">
        <v>0</v>
      </c>
      <c r="M27">
        <v>15000</v>
      </c>
      <c r="N27">
        <v>0</v>
      </c>
    </row>
    <row r="28" spans="1:14" x14ac:dyDescent="0.25">
      <c r="A28">
        <v>26</v>
      </c>
      <c r="B28">
        <v>159733</v>
      </c>
      <c r="C28">
        <v>200017574</v>
      </c>
      <c r="D28">
        <v>200029513</v>
      </c>
      <c r="E28" t="s">
        <v>247</v>
      </c>
      <c r="F28" t="s">
        <v>248</v>
      </c>
      <c r="G28" t="s">
        <v>244</v>
      </c>
      <c r="H28">
        <v>3</v>
      </c>
      <c r="I28">
        <v>3</v>
      </c>
      <c r="J28">
        <v>0</v>
      </c>
      <c r="K28">
        <v>0</v>
      </c>
      <c r="L28">
        <v>0</v>
      </c>
      <c r="M28">
        <v>7900</v>
      </c>
      <c r="N28">
        <v>0</v>
      </c>
    </row>
    <row r="29" spans="1:14" x14ac:dyDescent="0.25">
      <c r="A29">
        <v>27</v>
      </c>
      <c r="B29">
        <v>159733</v>
      </c>
      <c r="C29">
        <v>200029513</v>
      </c>
      <c r="D29">
        <v>200017574</v>
      </c>
      <c r="E29" t="s">
        <v>247</v>
      </c>
      <c r="F29" t="s">
        <v>248</v>
      </c>
      <c r="G29" t="s">
        <v>244</v>
      </c>
      <c r="H29">
        <v>3</v>
      </c>
      <c r="I29">
        <v>3</v>
      </c>
      <c r="J29">
        <v>0</v>
      </c>
      <c r="K29">
        <v>0</v>
      </c>
      <c r="L29">
        <v>0</v>
      </c>
      <c r="M29">
        <v>7900</v>
      </c>
      <c r="N29">
        <v>0</v>
      </c>
    </row>
    <row r="30" spans="1:14" x14ac:dyDescent="0.25">
      <c r="A30">
        <v>28</v>
      </c>
      <c r="B30">
        <v>159734</v>
      </c>
      <c r="C30">
        <v>200211673</v>
      </c>
      <c r="D30">
        <v>200029513</v>
      </c>
      <c r="E30" t="s">
        <v>213</v>
      </c>
      <c r="F30" t="s">
        <v>249</v>
      </c>
      <c r="G30" t="s">
        <v>242</v>
      </c>
      <c r="H30">
        <v>8</v>
      </c>
      <c r="I30">
        <v>8</v>
      </c>
      <c r="J30">
        <v>0</v>
      </c>
      <c r="K30">
        <v>0</v>
      </c>
      <c r="L30">
        <v>0</v>
      </c>
      <c r="M30">
        <v>15000</v>
      </c>
      <c r="N30">
        <v>0</v>
      </c>
    </row>
    <row r="31" spans="1:14" x14ac:dyDescent="0.25">
      <c r="A31">
        <v>29</v>
      </c>
      <c r="B31">
        <v>159770</v>
      </c>
      <c r="C31">
        <v>200193494</v>
      </c>
      <c r="D31">
        <v>200212588</v>
      </c>
      <c r="E31" t="s">
        <v>250</v>
      </c>
      <c r="F31" t="s">
        <v>251</v>
      </c>
      <c r="G31" t="s">
        <v>244</v>
      </c>
      <c r="H31">
        <v>2</v>
      </c>
      <c r="I31">
        <v>2</v>
      </c>
      <c r="J31">
        <v>0</v>
      </c>
      <c r="K31">
        <v>3046.409912109375</v>
      </c>
      <c r="L31">
        <v>2990</v>
      </c>
      <c r="M31">
        <v>7100</v>
      </c>
      <c r="N31">
        <v>43</v>
      </c>
    </row>
    <row r="32" spans="1:14" x14ac:dyDescent="0.25">
      <c r="A32">
        <v>30</v>
      </c>
      <c r="B32">
        <v>159770</v>
      </c>
      <c r="C32">
        <v>200212588</v>
      </c>
      <c r="D32">
        <v>200193494</v>
      </c>
      <c r="E32" t="s">
        <v>250</v>
      </c>
      <c r="F32" t="s">
        <v>251</v>
      </c>
      <c r="G32" t="s">
        <v>244</v>
      </c>
      <c r="H32">
        <v>2</v>
      </c>
      <c r="I32">
        <v>2</v>
      </c>
      <c r="J32">
        <v>0</v>
      </c>
      <c r="K32">
        <v>0</v>
      </c>
      <c r="L32">
        <v>0</v>
      </c>
      <c r="M32">
        <v>7100</v>
      </c>
      <c r="N32">
        <v>0</v>
      </c>
    </row>
    <row r="33" spans="1:14" x14ac:dyDescent="0.25">
      <c r="A33">
        <v>31</v>
      </c>
      <c r="B33">
        <v>160300</v>
      </c>
      <c r="C33">
        <v>200080357</v>
      </c>
      <c r="D33">
        <v>200026225</v>
      </c>
      <c r="E33" t="s">
        <v>213</v>
      </c>
      <c r="F33" t="s">
        <v>252</v>
      </c>
      <c r="G33" t="s">
        <v>215</v>
      </c>
      <c r="H33">
        <v>2</v>
      </c>
      <c r="I33">
        <v>2</v>
      </c>
      <c r="J33">
        <v>0</v>
      </c>
      <c r="K33">
        <v>829.15997314453125</v>
      </c>
      <c r="L33">
        <v>727</v>
      </c>
      <c r="M33">
        <v>10000</v>
      </c>
      <c r="N33">
        <v>8</v>
      </c>
    </row>
    <row r="34" spans="1:14" x14ac:dyDescent="0.25">
      <c r="A34">
        <v>32</v>
      </c>
      <c r="B34">
        <v>160301</v>
      </c>
      <c r="C34">
        <v>200020249</v>
      </c>
      <c r="D34">
        <v>200026225</v>
      </c>
      <c r="E34" t="s">
        <v>213</v>
      </c>
      <c r="F34" t="s">
        <v>253</v>
      </c>
      <c r="G34" t="s">
        <v>221</v>
      </c>
      <c r="H34">
        <v>6</v>
      </c>
      <c r="I34">
        <v>8</v>
      </c>
      <c r="J34">
        <v>2</v>
      </c>
      <c r="K34">
        <v>7683.669921875</v>
      </c>
      <c r="L34">
        <v>7013</v>
      </c>
      <c r="M34">
        <v>10000</v>
      </c>
      <c r="N34">
        <v>77</v>
      </c>
    </row>
    <row r="35" spans="1:14" x14ac:dyDescent="0.25">
      <c r="A35">
        <v>33</v>
      </c>
      <c r="B35">
        <v>160480</v>
      </c>
      <c r="C35">
        <v>200079969</v>
      </c>
      <c r="D35">
        <v>200072551</v>
      </c>
      <c r="E35" t="s">
        <v>213</v>
      </c>
      <c r="F35" t="s">
        <v>254</v>
      </c>
      <c r="G35" t="s">
        <v>215</v>
      </c>
      <c r="H35">
        <v>28</v>
      </c>
      <c r="I35">
        <v>33</v>
      </c>
      <c r="J35">
        <v>5</v>
      </c>
      <c r="K35">
        <v>6959.2998046875</v>
      </c>
      <c r="L35">
        <v>6439</v>
      </c>
      <c r="M35">
        <v>10000</v>
      </c>
      <c r="N35">
        <v>70</v>
      </c>
    </row>
    <row r="36" spans="1:14" x14ac:dyDescent="0.25">
      <c r="A36">
        <v>34</v>
      </c>
      <c r="B36">
        <v>160481</v>
      </c>
      <c r="C36">
        <v>200026225</v>
      </c>
      <c r="D36">
        <v>200025831</v>
      </c>
      <c r="E36" t="s">
        <v>213</v>
      </c>
      <c r="F36" t="s">
        <v>255</v>
      </c>
      <c r="G36" t="s">
        <v>215</v>
      </c>
      <c r="H36">
        <v>33</v>
      </c>
      <c r="I36">
        <v>60</v>
      </c>
      <c r="J36">
        <v>27</v>
      </c>
      <c r="K36">
        <v>8512.830078125</v>
      </c>
      <c r="L36">
        <v>7741</v>
      </c>
      <c r="M36">
        <v>10000</v>
      </c>
      <c r="N36">
        <v>85</v>
      </c>
    </row>
    <row r="37" spans="1:14" x14ac:dyDescent="0.25">
      <c r="A37">
        <v>35</v>
      </c>
      <c r="B37">
        <v>160482</v>
      </c>
      <c r="C37">
        <v>200080357</v>
      </c>
      <c r="D37">
        <v>200020643</v>
      </c>
      <c r="E37" t="s">
        <v>230</v>
      </c>
      <c r="F37" t="s">
        <v>256</v>
      </c>
      <c r="G37" t="s">
        <v>232</v>
      </c>
      <c r="H37">
        <v>9</v>
      </c>
      <c r="I37">
        <v>10</v>
      </c>
      <c r="J37">
        <v>1</v>
      </c>
      <c r="K37">
        <v>18210.259765625</v>
      </c>
      <c r="L37">
        <v>16083</v>
      </c>
      <c r="M37">
        <v>19900</v>
      </c>
      <c r="N37">
        <v>92</v>
      </c>
    </row>
    <row r="38" spans="1:14" x14ac:dyDescent="0.25">
      <c r="A38">
        <v>36</v>
      </c>
      <c r="B38">
        <v>160503</v>
      </c>
      <c r="C38">
        <v>200019521</v>
      </c>
      <c r="D38">
        <v>200018857</v>
      </c>
      <c r="E38" t="s">
        <v>225</v>
      </c>
      <c r="F38" t="s">
        <v>257</v>
      </c>
      <c r="G38" t="s">
        <v>224</v>
      </c>
      <c r="H38">
        <v>1</v>
      </c>
      <c r="I38">
        <v>1</v>
      </c>
      <c r="J38">
        <v>0</v>
      </c>
      <c r="K38">
        <v>30481.859375</v>
      </c>
      <c r="L38">
        <v>23180</v>
      </c>
      <c r="M38">
        <v>52500</v>
      </c>
      <c r="N38">
        <v>58</v>
      </c>
    </row>
    <row r="39" spans="1:14" x14ac:dyDescent="0.25">
      <c r="A39">
        <v>37</v>
      </c>
      <c r="B39">
        <v>160504</v>
      </c>
      <c r="C39">
        <v>200018857</v>
      </c>
      <c r="D39">
        <v>200025501</v>
      </c>
      <c r="E39" t="s">
        <v>213</v>
      </c>
      <c r="F39" t="s">
        <v>258</v>
      </c>
      <c r="G39" t="s">
        <v>237</v>
      </c>
      <c r="H39">
        <v>27</v>
      </c>
      <c r="I39">
        <v>72</v>
      </c>
      <c r="J39">
        <v>44</v>
      </c>
      <c r="K39">
        <v>9324.169921875</v>
      </c>
      <c r="L39">
        <v>7192</v>
      </c>
      <c r="M39">
        <v>10000</v>
      </c>
      <c r="N39">
        <v>93</v>
      </c>
    </row>
    <row r="40" spans="1:14" x14ac:dyDescent="0.25">
      <c r="A40">
        <v>38</v>
      </c>
      <c r="B40">
        <v>160508</v>
      </c>
      <c r="C40">
        <v>200020643</v>
      </c>
      <c r="D40">
        <v>200016896</v>
      </c>
      <c r="E40" t="s">
        <v>213</v>
      </c>
      <c r="F40" t="s">
        <v>259</v>
      </c>
      <c r="G40" t="s">
        <v>221</v>
      </c>
      <c r="H40">
        <v>1</v>
      </c>
      <c r="I40">
        <v>1</v>
      </c>
      <c r="J40">
        <v>0</v>
      </c>
      <c r="K40">
        <v>0</v>
      </c>
      <c r="L40">
        <v>0</v>
      </c>
      <c r="M40">
        <v>10000</v>
      </c>
      <c r="N40">
        <v>0</v>
      </c>
    </row>
    <row r="41" spans="1:14" x14ac:dyDescent="0.25">
      <c r="A41">
        <v>39</v>
      </c>
      <c r="B41">
        <v>160509</v>
      </c>
      <c r="C41">
        <v>200016896</v>
      </c>
      <c r="D41">
        <v>200070034</v>
      </c>
      <c r="E41" t="s">
        <v>230</v>
      </c>
      <c r="F41" t="s">
        <v>260</v>
      </c>
      <c r="G41" t="s">
        <v>232</v>
      </c>
      <c r="H41">
        <v>8</v>
      </c>
      <c r="I41">
        <v>9</v>
      </c>
      <c r="J41">
        <v>1</v>
      </c>
      <c r="K41">
        <v>17899.83984375</v>
      </c>
      <c r="L41">
        <v>16045</v>
      </c>
      <c r="M41">
        <v>19900</v>
      </c>
      <c r="N41">
        <v>90</v>
      </c>
    </row>
    <row r="42" spans="1:14" x14ac:dyDescent="0.25">
      <c r="A42">
        <v>40</v>
      </c>
      <c r="B42">
        <v>160510</v>
      </c>
      <c r="C42">
        <v>200070034</v>
      </c>
      <c r="D42">
        <v>200080357</v>
      </c>
      <c r="E42" t="s">
        <v>213</v>
      </c>
      <c r="F42" t="s">
        <v>261</v>
      </c>
      <c r="G42" t="s">
        <v>221</v>
      </c>
      <c r="H42">
        <v>2</v>
      </c>
      <c r="I42">
        <v>2</v>
      </c>
      <c r="J42">
        <v>0</v>
      </c>
      <c r="K42">
        <v>3716.659912109375</v>
      </c>
      <c r="L42">
        <v>1862</v>
      </c>
      <c r="M42">
        <v>10000</v>
      </c>
      <c r="N42">
        <v>37</v>
      </c>
    </row>
    <row r="43" spans="1:14" x14ac:dyDescent="0.25">
      <c r="A43">
        <v>41</v>
      </c>
      <c r="B43">
        <v>160511</v>
      </c>
      <c r="C43">
        <v>200070034</v>
      </c>
      <c r="D43">
        <v>200025064</v>
      </c>
      <c r="E43" t="s">
        <v>230</v>
      </c>
      <c r="F43" t="s">
        <v>261</v>
      </c>
      <c r="G43" t="s">
        <v>232</v>
      </c>
      <c r="H43">
        <v>1</v>
      </c>
      <c r="I43">
        <v>1</v>
      </c>
      <c r="J43">
        <v>0</v>
      </c>
      <c r="K43">
        <v>14183.1796875</v>
      </c>
      <c r="L43">
        <v>14183</v>
      </c>
      <c r="M43">
        <v>19900</v>
      </c>
      <c r="N43">
        <v>71</v>
      </c>
    </row>
    <row r="44" spans="1:14" x14ac:dyDescent="0.25">
      <c r="A44">
        <v>42</v>
      </c>
      <c r="B44">
        <v>160512</v>
      </c>
      <c r="C44">
        <v>200025064</v>
      </c>
      <c r="D44">
        <v>200080357</v>
      </c>
      <c r="E44" t="s">
        <v>213</v>
      </c>
      <c r="F44" t="s">
        <v>257</v>
      </c>
      <c r="G44" t="s">
        <v>221</v>
      </c>
      <c r="H44">
        <v>1</v>
      </c>
      <c r="I44">
        <v>1</v>
      </c>
      <c r="J44">
        <v>0</v>
      </c>
      <c r="K44">
        <v>0</v>
      </c>
      <c r="L44">
        <v>0</v>
      </c>
      <c r="M44">
        <v>10000</v>
      </c>
      <c r="N44">
        <v>0</v>
      </c>
    </row>
    <row r="45" spans="1:14" x14ac:dyDescent="0.25">
      <c r="A45">
        <v>43</v>
      </c>
      <c r="B45">
        <v>160512</v>
      </c>
      <c r="C45">
        <v>200080357</v>
      </c>
      <c r="D45">
        <v>200025064</v>
      </c>
      <c r="E45" t="s">
        <v>213</v>
      </c>
      <c r="F45" t="s">
        <v>257</v>
      </c>
      <c r="G45" t="s">
        <v>215</v>
      </c>
      <c r="H45">
        <v>1</v>
      </c>
      <c r="I45">
        <v>1</v>
      </c>
      <c r="J45">
        <v>0</v>
      </c>
      <c r="K45">
        <v>0</v>
      </c>
      <c r="L45">
        <v>0</v>
      </c>
      <c r="M45">
        <v>10000</v>
      </c>
      <c r="N45">
        <v>0</v>
      </c>
    </row>
    <row r="46" spans="1:14" x14ac:dyDescent="0.25">
      <c r="A46">
        <v>44</v>
      </c>
      <c r="B46">
        <v>160513</v>
      </c>
      <c r="C46">
        <v>200025064</v>
      </c>
      <c r="D46">
        <v>200208482</v>
      </c>
      <c r="E46" t="s">
        <v>230</v>
      </c>
      <c r="F46" t="s">
        <v>238</v>
      </c>
      <c r="G46" t="s">
        <v>232</v>
      </c>
      <c r="H46">
        <v>1</v>
      </c>
      <c r="I46">
        <v>1</v>
      </c>
      <c r="J46">
        <v>0</v>
      </c>
      <c r="K46">
        <v>0</v>
      </c>
      <c r="L46">
        <v>0</v>
      </c>
      <c r="M46">
        <v>19900</v>
      </c>
      <c r="N46">
        <v>0</v>
      </c>
    </row>
    <row r="47" spans="1:14" x14ac:dyDescent="0.25">
      <c r="A47">
        <v>45</v>
      </c>
      <c r="B47">
        <v>160515</v>
      </c>
      <c r="C47">
        <v>200082348</v>
      </c>
      <c r="D47">
        <v>200208482</v>
      </c>
      <c r="E47" t="s">
        <v>213</v>
      </c>
      <c r="F47" t="s">
        <v>245</v>
      </c>
      <c r="G47" t="s">
        <v>237</v>
      </c>
      <c r="H47">
        <v>2</v>
      </c>
      <c r="I47">
        <v>2</v>
      </c>
      <c r="J47">
        <v>0</v>
      </c>
      <c r="K47">
        <v>0</v>
      </c>
      <c r="L47">
        <v>0</v>
      </c>
      <c r="M47">
        <v>10000</v>
      </c>
      <c r="N47">
        <v>0</v>
      </c>
    </row>
    <row r="48" spans="1:14" x14ac:dyDescent="0.25">
      <c r="A48">
        <v>46</v>
      </c>
      <c r="B48">
        <v>160516</v>
      </c>
      <c r="C48">
        <v>200025064</v>
      </c>
      <c r="D48">
        <v>200082348</v>
      </c>
      <c r="E48" t="s">
        <v>213</v>
      </c>
      <c r="F48" t="s">
        <v>261</v>
      </c>
      <c r="G48" t="s">
        <v>237</v>
      </c>
      <c r="H48">
        <v>2</v>
      </c>
      <c r="I48">
        <v>2</v>
      </c>
      <c r="J48">
        <v>0</v>
      </c>
      <c r="K48">
        <v>0</v>
      </c>
      <c r="L48">
        <v>0</v>
      </c>
      <c r="M48">
        <v>10000</v>
      </c>
      <c r="N48">
        <v>0</v>
      </c>
    </row>
    <row r="49" spans="1:14" x14ac:dyDescent="0.25">
      <c r="A49">
        <v>47</v>
      </c>
      <c r="B49">
        <v>160516</v>
      </c>
      <c r="C49">
        <v>200082348</v>
      </c>
      <c r="D49">
        <v>200025064</v>
      </c>
      <c r="E49" t="s">
        <v>213</v>
      </c>
      <c r="F49" t="s">
        <v>261</v>
      </c>
      <c r="G49" t="s">
        <v>237</v>
      </c>
      <c r="H49">
        <v>2</v>
      </c>
      <c r="I49">
        <v>2</v>
      </c>
      <c r="J49">
        <v>0</v>
      </c>
      <c r="K49">
        <v>4371.7001953125</v>
      </c>
      <c r="L49">
        <v>3512</v>
      </c>
      <c r="M49">
        <v>10000</v>
      </c>
      <c r="N49">
        <v>44</v>
      </c>
    </row>
    <row r="50" spans="1:14" x14ac:dyDescent="0.25">
      <c r="A50">
        <v>48</v>
      </c>
      <c r="B50">
        <v>160671</v>
      </c>
      <c r="C50">
        <v>200031453</v>
      </c>
      <c r="D50">
        <v>200066924</v>
      </c>
      <c r="E50" t="s">
        <v>213</v>
      </c>
      <c r="F50" t="s">
        <v>262</v>
      </c>
      <c r="G50" t="s">
        <v>221</v>
      </c>
      <c r="H50">
        <v>24</v>
      </c>
      <c r="I50">
        <v>24</v>
      </c>
      <c r="J50">
        <v>0</v>
      </c>
      <c r="K50">
        <v>772.8699951171875</v>
      </c>
      <c r="L50">
        <v>437</v>
      </c>
      <c r="M50">
        <v>15000</v>
      </c>
      <c r="N50">
        <v>5</v>
      </c>
    </row>
    <row r="51" spans="1:14" x14ac:dyDescent="0.25">
      <c r="A51">
        <v>49</v>
      </c>
      <c r="B51">
        <v>160672</v>
      </c>
      <c r="C51">
        <v>200019836</v>
      </c>
      <c r="D51">
        <v>200031453</v>
      </c>
      <c r="E51" t="s">
        <v>213</v>
      </c>
      <c r="F51" t="s">
        <v>263</v>
      </c>
      <c r="G51" t="s">
        <v>215</v>
      </c>
      <c r="H51">
        <v>33</v>
      </c>
      <c r="I51">
        <v>39</v>
      </c>
      <c r="J51">
        <v>6</v>
      </c>
      <c r="K51">
        <v>10413.3701171875</v>
      </c>
      <c r="L51">
        <v>8937</v>
      </c>
      <c r="M51">
        <v>15000</v>
      </c>
      <c r="N51">
        <v>69</v>
      </c>
    </row>
    <row r="52" spans="1:14" x14ac:dyDescent="0.25">
      <c r="A52">
        <v>50</v>
      </c>
      <c r="B52">
        <v>160673</v>
      </c>
      <c r="C52">
        <v>200031840</v>
      </c>
      <c r="D52">
        <v>200068383</v>
      </c>
      <c r="E52" t="s">
        <v>213</v>
      </c>
      <c r="F52" t="s">
        <v>255</v>
      </c>
      <c r="G52" t="s">
        <v>221</v>
      </c>
      <c r="H52">
        <v>26</v>
      </c>
      <c r="I52">
        <v>26</v>
      </c>
      <c r="J52">
        <v>0</v>
      </c>
      <c r="K52">
        <v>664.59002685546875</v>
      </c>
      <c r="L52">
        <v>353</v>
      </c>
      <c r="M52">
        <v>15000</v>
      </c>
      <c r="N52">
        <v>4</v>
      </c>
    </row>
    <row r="53" spans="1:14" x14ac:dyDescent="0.25">
      <c r="A53">
        <v>51</v>
      </c>
      <c r="B53">
        <v>160674</v>
      </c>
      <c r="C53">
        <v>200068383</v>
      </c>
      <c r="D53">
        <v>200022851</v>
      </c>
      <c r="E53" t="s">
        <v>213</v>
      </c>
      <c r="F53" t="s">
        <v>264</v>
      </c>
      <c r="G53" t="s">
        <v>215</v>
      </c>
      <c r="H53">
        <v>31</v>
      </c>
      <c r="I53">
        <v>34</v>
      </c>
      <c r="J53">
        <v>4</v>
      </c>
      <c r="K53">
        <v>8559.259765625</v>
      </c>
      <c r="L53">
        <v>7173</v>
      </c>
      <c r="M53">
        <v>15000</v>
      </c>
      <c r="N53">
        <v>57</v>
      </c>
    </row>
    <row r="54" spans="1:14" x14ac:dyDescent="0.25">
      <c r="A54">
        <v>52</v>
      </c>
      <c r="B54">
        <v>164256</v>
      </c>
      <c r="C54">
        <v>200070066</v>
      </c>
      <c r="D54">
        <v>200194730</v>
      </c>
      <c r="E54" t="s">
        <v>265</v>
      </c>
      <c r="F54" t="s">
        <v>245</v>
      </c>
      <c r="G54" t="s">
        <v>221</v>
      </c>
      <c r="H54">
        <v>2</v>
      </c>
      <c r="I54">
        <v>2</v>
      </c>
      <c r="J54">
        <v>0</v>
      </c>
      <c r="K54">
        <v>0</v>
      </c>
      <c r="L54">
        <v>0</v>
      </c>
      <c r="M54">
        <v>7100</v>
      </c>
      <c r="N54">
        <v>0</v>
      </c>
    </row>
    <row r="55" spans="1:14" x14ac:dyDescent="0.25">
      <c r="A55">
        <v>53</v>
      </c>
      <c r="B55">
        <v>164256</v>
      </c>
      <c r="C55">
        <v>200194730</v>
      </c>
      <c r="D55">
        <v>200070066</v>
      </c>
      <c r="E55" t="s">
        <v>265</v>
      </c>
      <c r="F55" t="s">
        <v>245</v>
      </c>
      <c r="G55" t="s">
        <v>221</v>
      </c>
      <c r="H55">
        <v>2</v>
      </c>
      <c r="I55">
        <v>2</v>
      </c>
      <c r="J55">
        <v>0</v>
      </c>
      <c r="K55">
        <v>0</v>
      </c>
      <c r="L55">
        <v>0</v>
      </c>
      <c r="M55">
        <v>7100</v>
      </c>
      <c r="N55">
        <v>0</v>
      </c>
    </row>
    <row r="56" spans="1:14" x14ac:dyDescent="0.25">
      <c r="A56">
        <v>54</v>
      </c>
      <c r="B56">
        <v>164257</v>
      </c>
      <c r="C56">
        <v>200070066</v>
      </c>
      <c r="D56">
        <v>200196941</v>
      </c>
      <c r="E56" t="s">
        <v>240</v>
      </c>
      <c r="F56" t="s">
        <v>243</v>
      </c>
      <c r="G56" t="s">
        <v>237</v>
      </c>
      <c r="H56">
        <v>2</v>
      </c>
      <c r="I56">
        <v>2</v>
      </c>
      <c r="J56">
        <v>0</v>
      </c>
      <c r="K56">
        <v>0</v>
      </c>
      <c r="L56">
        <v>0</v>
      </c>
      <c r="M56">
        <v>17750</v>
      </c>
      <c r="N56">
        <v>0</v>
      </c>
    </row>
    <row r="57" spans="1:14" x14ac:dyDescent="0.25">
      <c r="A57">
        <v>55</v>
      </c>
      <c r="B57">
        <v>164258</v>
      </c>
      <c r="C57">
        <v>200027088</v>
      </c>
      <c r="D57">
        <v>200196941</v>
      </c>
      <c r="E57" t="s">
        <v>213</v>
      </c>
      <c r="F57" t="s">
        <v>227</v>
      </c>
      <c r="G57" t="s">
        <v>221</v>
      </c>
      <c r="H57">
        <v>3</v>
      </c>
      <c r="I57">
        <v>3</v>
      </c>
      <c r="J57">
        <v>0</v>
      </c>
      <c r="K57">
        <v>2034.949951171875</v>
      </c>
      <c r="L57">
        <v>2005</v>
      </c>
      <c r="M57">
        <v>15000</v>
      </c>
      <c r="N57">
        <v>14</v>
      </c>
    </row>
    <row r="58" spans="1:14" x14ac:dyDescent="0.25">
      <c r="A58">
        <v>56</v>
      </c>
      <c r="B58">
        <v>164278</v>
      </c>
      <c r="C58">
        <v>200194451</v>
      </c>
      <c r="D58">
        <v>200198873</v>
      </c>
      <c r="E58" t="s">
        <v>266</v>
      </c>
      <c r="F58" t="s">
        <v>267</v>
      </c>
      <c r="G58" t="s">
        <v>268</v>
      </c>
      <c r="H58">
        <v>2</v>
      </c>
      <c r="I58">
        <v>2</v>
      </c>
      <c r="J58">
        <v>0</v>
      </c>
      <c r="K58">
        <v>0</v>
      </c>
      <c r="L58">
        <v>0</v>
      </c>
      <c r="M58">
        <v>7100</v>
      </c>
      <c r="N58">
        <v>0</v>
      </c>
    </row>
    <row r="59" spans="1:14" x14ac:dyDescent="0.25">
      <c r="A59">
        <v>57</v>
      </c>
      <c r="B59">
        <v>164278</v>
      </c>
      <c r="C59">
        <v>200198873</v>
      </c>
      <c r="D59">
        <v>200194451</v>
      </c>
      <c r="E59" t="s">
        <v>266</v>
      </c>
      <c r="F59" t="s">
        <v>267</v>
      </c>
      <c r="G59" t="s">
        <v>268</v>
      </c>
      <c r="H59">
        <v>2</v>
      </c>
      <c r="I59">
        <v>2</v>
      </c>
      <c r="J59">
        <v>0</v>
      </c>
      <c r="K59">
        <v>0</v>
      </c>
      <c r="L59">
        <v>0</v>
      </c>
      <c r="M59">
        <v>7100</v>
      </c>
      <c r="N59">
        <v>0</v>
      </c>
    </row>
    <row r="60" spans="1:14" x14ac:dyDescent="0.25">
      <c r="A60">
        <v>58</v>
      </c>
      <c r="B60">
        <v>164450</v>
      </c>
      <c r="C60">
        <v>200209442</v>
      </c>
      <c r="D60">
        <v>200205103</v>
      </c>
      <c r="E60" t="s">
        <v>240</v>
      </c>
      <c r="F60" t="s">
        <v>269</v>
      </c>
      <c r="G60" t="s">
        <v>237</v>
      </c>
      <c r="H60">
        <v>10</v>
      </c>
      <c r="I60">
        <v>11</v>
      </c>
      <c r="J60">
        <v>1</v>
      </c>
      <c r="K60">
        <v>15521.7197265625</v>
      </c>
      <c r="L60">
        <v>14981</v>
      </c>
      <c r="M60">
        <v>17750</v>
      </c>
      <c r="N60">
        <v>87</v>
      </c>
    </row>
    <row r="61" spans="1:14" x14ac:dyDescent="0.25">
      <c r="A61">
        <v>59</v>
      </c>
      <c r="B61">
        <v>164453</v>
      </c>
      <c r="C61">
        <v>200198336</v>
      </c>
      <c r="D61">
        <v>200205103</v>
      </c>
      <c r="E61" t="s">
        <v>213</v>
      </c>
      <c r="F61" t="s">
        <v>239</v>
      </c>
      <c r="G61" t="s">
        <v>242</v>
      </c>
      <c r="H61">
        <v>3</v>
      </c>
      <c r="I61">
        <v>3</v>
      </c>
      <c r="J61">
        <v>0</v>
      </c>
      <c r="K61">
        <v>0</v>
      </c>
      <c r="L61">
        <v>0</v>
      </c>
      <c r="M61">
        <v>15000</v>
      </c>
      <c r="N61">
        <v>0</v>
      </c>
    </row>
    <row r="62" spans="1:14" x14ac:dyDescent="0.25">
      <c r="A62">
        <v>60</v>
      </c>
      <c r="B62">
        <v>164453</v>
      </c>
      <c r="C62">
        <v>200205103</v>
      </c>
      <c r="D62">
        <v>200198336</v>
      </c>
      <c r="E62" t="s">
        <v>213</v>
      </c>
      <c r="F62" t="s">
        <v>239</v>
      </c>
      <c r="G62" t="s">
        <v>242</v>
      </c>
      <c r="H62">
        <v>3</v>
      </c>
      <c r="I62">
        <v>3</v>
      </c>
      <c r="J62">
        <v>0</v>
      </c>
      <c r="K62">
        <v>0</v>
      </c>
      <c r="L62">
        <v>0</v>
      </c>
      <c r="M62">
        <v>15000</v>
      </c>
      <c r="N62">
        <v>0</v>
      </c>
    </row>
    <row r="63" spans="1:14" x14ac:dyDescent="0.25">
      <c r="A63">
        <v>61</v>
      </c>
      <c r="B63">
        <v>164468</v>
      </c>
      <c r="C63">
        <v>200198064</v>
      </c>
      <c r="D63">
        <v>200202405</v>
      </c>
      <c r="E63" t="s">
        <v>213</v>
      </c>
      <c r="F63" t="s">
        <v>259</v>
      </c>
      <c r="G63" t="s">
        <v>215</v>
      </c>
      <c r="H63">
        <v>1</v>
      </c>
      <c r="I63">
        <v>1</v>
      </c>
      <c r="J63">
        <v>0</v>
      </c>
      <c r="K63">
        <v>0</v>
      </c>
      <c r="L63">
        <v>0</v>
      </c>
      <c r="M63">
        <v>8875</v>
      </c>
      <c r="N63">
        <v>0</v>
      </c>
    </row>
    <row r="64" spans="1:14" x14ac:dyDescent="0.25">
      <c r="A64">
        <v>62</v>
      </c>
      <c r="B64">
        <v>164468</v>
      </c>
      <c r="C64">
        <v>200202405</v>
      </c>
      <c r="D64">
        <v>200198064</v>
      </c>
      <c r="E64" t="s">
        <v>213</v>
      </c>
      <c r="F64" t="s">
        <v>259</v>
      </c>
      <c r="G64" t="s">
        <v>215</v>
      </c>
      <c r="H64">
        <v>1</v>
      </c>
      <c r="I64">
        <v>1</v>
      </c>
      <c r="J64">
        <v>0</v>
      </c>
      <c r="K64">
        <v>0</v>
      </c>
      <c r="L64">
        <v>0</v>
      </c>
      <c r="M64">
        <v>8875</v>
      </c>
      <c r="N64">
        <v>0</v>
      </c>
    </row>
    <row r="65" spans="1:14" x14ac:dyDescent="0.25">
      <c r="A65">
        <v>63</v>
      </c>
      <c r="B65">
        <v>164483</v>
      </c>
      <c r="C65">
        <v>200206438</v>
      </c>
      <c r="D65">
        <v>200021491</v>
      </c>
      <c r="E65" t="s">
        <v>213</v>
      </c>
      <c r="F65" t="s">
        <v>270</v>
      </c>
      <c r="G65" t="s">
        <v>237</v>
      </c>
      <c r="H65">
        <v>24</v>
      </c>
      <c r="I65">
        <v>25</v>
      </c>
      <c r="J65">
        <v>1</v>
      </c>
      <c r="K65">
        <v>5378.60009765625</v>
      </c>
      <c r="L65">
        <v>5220</v>
      </c>
      <c r="M65">
        <v>15000</v>
      </c>
      <c r="N65">
        <v>36</v>
      </c>
    </row>
    <row r="66" spans="1:14" x14ac:dyDescent="0.25">
      <c r="A66">
        <v>64</v>
      </c>
      <c r="B66">
        <v>164488</v>
      </c>
      <c r="C66">
        <v>200206438</v>
      </c>
      <c r="D66">
        <v>200070066</v>
      </c>
      <c r="E66" t="s">
        <v>240</v>
      </c>
      <c r="F66" t="s">
        <v>271</v>
      </c>
      <c r="G66" t="s">
        <v>237</v>
      </c>
      <c r="H66">
        <v>13</v>
      </c>
      <c r="I66">
        <v>13</v>
      </c>
      <c r="J66">
        <v>0</v>
      </c>
      <c r="K66">
        <v>10223.669921875</v>
      </c>
      <c r="L66">
        <v>9876</v>
      </c>
      <c r="M66">
        <v>17750</v>
      </c>
      <c r="N66">
        <v>58</v>
      </c>
    </row>
    <row r="67" spans="1:14" x14ac:dyDescent="0.25">
      <c r="A67">
        <v>65</v>
      </c>
      <c r="B67">
        <v>164489</v>
      </c>
      <c r="C67">
        <v>200027088</v>
      </c>
      <c r="D67">
        <v>200070066</v>
      </c>
      <c r="E67" t="s">
        <v>265</v>
      </c>
      <c r="F67" t="s">
        <v>243</v>
      </c>
      <c r="G67" t="s">
        <v>221</v>
      </c>
      <c r="H67">
        <v>2</v>
      </c>
      <c r="I67">
        <v>2</v>
      </c>
      <c r="J67">
        <v>0</v>
      </c>
      <c r="K67">
        <v>3443.449951171875</v>
      </c>
      <c r="L67">
        <v>3347</v>
      </c>
      <c r="M67">
        <v>7100</v>
      </c>
      <c r="N67">
        <v>48</v>
      </c>
    </row>
    <row r="68" spans="1:14" x14ac:dyDescent="0.25">
      <c r="A68">
        <v>66</v>
      </c>
      <c r="B68">
        <v>164489</v>
      </c>
      <c r="C68">
        <v>200070066</v>
      </c>
      <c r="D68">
        <v>200027088</v>
      </c>
      <c r="E68" t="s">
        <v>265</v>
      </c>
      <c r="F68" t="s">
        <v>243</v>
      </c>
      <c r="G68" t="s">
        <v>221</v>
      </c>
      <c r="H68">
        <v>2</v>
      </c>
      <c r="I68">
        <v>2</v>
      </c>
      <c r="J68">
        <v>0</v>
      </c>
      <c r="K68">
        <v>1435.77001953125</v>
      </c>
      <c r="L68">
        <v>1427</v>
      </c>
      <c r="M68">
        <v>7100</v>
      </c>
      <c r="N68">
        <v>20</v>
      </c>
    </row>
    <row r="69" spans="1:14" x14ac:dyDescent="0.25">
      <c r="A69">
        <v>67</v>
      </c>
      <c r="B69">
        <v>165131</v>
      </c>
      <c r="C69">
        <v>200068420</v>
      </c>
      <c r="D69">
        <v>200080392</v>
      </c>
      <c r="E69" t="s">
        <v>225</v>
      </c>
      <c r="F69" t="s">
        <v>272</v>
      </c>
      <c r="G69" t="s">
        <v>224</v>
      </c>
      <c r="H69">
        <v>1</v>
      </c>
      <c r="I69">
        <v>1</v>
      </c>
      <c r="J69">
        <v>1</v>
      </c>
      <c r="K69">
        <v>30481.859375</v>
      </c>
      <c r="L69">
        <v>23180</v>
      </c>
      <c r="M69">
        <v>35000</v>
      </c>
      <c r="N69">
        <v>87</v>
      </c>
    </row>
    <row r="70" spans="1:14" x14ac:dyDescent="0.25">
      <c r="A70">
        <v>68</v>
      </c>
      <c r="B70">
        <v>165639</v>
      </c>
      <c r="C70">
        <v>200018361</v>
      </c>
      <c r="D70">
        <v>200024300</v>
      </c>
      <c r="E70" t="s">
        <v>273</v>
      </c>
      <c r="F70" t="s">
        <v>274</v>
      </c>
      <c r="G70" t="s">
        <v>275</v>
      </c>
      <c r="H70">
        <v>1</v>
      </c>
      <c r="I70">
        <v>1</v>
      </c>
      <c r="J70">
        <v>0</v>
      </c>
      <c r="K70">
        <v>0</v>
      </c>
      <c r="L70">
        <v>0</v>
      </c>
      <c r="M70">
        <v>7100</v>
      </c>
      <c r="N70">
        <v>0</v>
      </c>
    </row>
    <row r="71" spans="1:14" x14ac:dyDescent="0.25">
      <c r="A71">
        <v>69</v>
      </c>
      <c r="B71">
        <v>165639</v>
      </c>
      <c r="C71">
        <v>200024300</v>
      </c>
      <c r="D71">
        <v>200018361</v>
      </c>
      <c r="E71" t="s">
        <v>273</v>
      </c>
      <c r="F71" t="s">
        <v>274</v>
      </c>
      <c r="G71" t="s">
        <v>275</v>
      </c>
      <c r="H71">
        <v>1</v>
      </c>
      <c r="I71">
        <v>1</v>
      </c>
      <c r="J71">
        <v>0</v>
      </c>
      <c r="K71">
        <v>0</v>
      </c>
      <c r="L71">
        <v>0</v>
      </c>
      <c r="M71">
        <v>7100</v>
      </c>
      <c r="N71">
        <v>0</v>
      </c>
    </row>
    <row r="72" spans="1:14" x14ac:dyDescent="0.25">
      <c r="A72">
        <v>70</v>
      </c>
      <c r="B72">
        <v>166388</v>
      </c>
      <c r="C72">
        <v>200211465</v>
      </c>
      <c r="D72">
        <v>200077446</v>
      </c>
      <c r="E72" t="s">
        <v>240</v>
      </c>
      <c r="F72" t="s">
        <v>238</v>
      </c>
      <c r="G72" t="s">
        <v>237</v>
      </c>
      <c r="H72">
        <v>2</v>
      </c>
      <c r="I72">
        <v>2</v>
      </c>
      <c r="J72">
        <v>0</v>
      </c>
      <c r="K72">
        <v>0</v>
      </c>
      <c r="L72">
        <v>0</v>
      </c>
      <c r="M72">
        <v>15800</v>
      </c>
      <c r="N72">
        <v>0</v>
      </c>
    </row>
    <row r="73" spans="1:14" x14ac:dyDescent="0.25">
      <c r="A73">
        <v>71</v>
      </c>
      <c r="B73">
        <v>166389</v>
      </c>
      <c r="C73">
        <v>200211465</v>
      </c>
      <c r="D73">
        <v>200076049</v>
      </c>
      <c r="E73" t="s">
        <v>213</v>
      </c>
      <c r="F73" t="s">
        <v>276</v>
      </c>
      <c r="G73" t="s">
        <v>242</v>
      </c>
      <c r="H73">
        <v>7</v>
      </c>
      <c r="I73">
        <v>7</v>
      </c>
      <c r="J73">
        <v>0</v>
      </c>
      <c r="K73">
        <v>0</v>
      </c>
      <c r="L73">
        <v>0</v>
      </c>
      <c r="M73">
        <v>15000</v>
      </c>
      <c r="N73">
        <v>0</v>
      </c>
    </row>
    <row r="74" spans="1:14" x14ac:dyDescent="0.25">
      <c r="A74">
        <v>72</v>
      </c>
      <c r="B74">
        <v>166390</v>
      </c>
      <c r="C74">
        <v>200080485</v>
      </c>
      <c r="D74">
        <v>200213638</v>
      </c>
      <c r="E74" t="s">
        <v>240</v>
      </c>
      <c r="F74" t="s">
        <v>277</v>
      </c>
      <c r="G74" t="s">
        <v>237</v>
      </c>
      <c r="H74">
        <v>2</v>
      </c>
      <c r="I74">
        <v>2</v>
      </c>
      <c r="J74">
        <v>0</v>
      </c>
      <c r="K74">
        <v>0</v>
      </c>
      <c r="L74">
        <v>0</v>
      </c>
      <c r="M74">
        <v>15800</v>
      </c>
      <c r="N74">
        <v>0</v>
      </c>
    </row>
    <row r="75" spans="1:14" x14ac:dyDescent="0.25">
      <c r="A75">
        <v>73</v>
      </c>
      <c r="B75">
        <v>166391</v>
      </c>
      <c r="C75">
        <v>200079030</v>
      </c>
      <c r="D75">
        <v>200213638</v>
      </c>
      <c r="E75" t="s">
        <v>213</v>
      </c>
      <c r="F75" t="s">
        <v>246</v>
      </c>
      <c r="G75" t="s">
        <v>242</v>
      </c>
      <c r="H75">
        <v>8</v>
      </c>
      <c r="I75">
        <v>8</v>
      </c>
      <c r="J75">
        <v>0</v>
      </c>
      <c r="K75">
        <v>0</v>
      </c>
      <c r="L75">
        <v>0</v>
      </c>
      <c r="M75">
        <v>15000</v>
      </c>
      <c r="N75">
        <v>0</v>
      </c>
    </row>
    <row r="76" spans="1:14" x14ac:dyDescent="0.25">
      <c r="A76">
        <v>74</v>
      </c>
      <c r="B76">
        <v>167033</v>
      </c>
      <c r="C76">
        <v>200031488</v>
      </c>
      <c r="D76">
        <v>200016938</v>
      </c>
      <c r="E76" t="s">
        <v>213</v>
      </c>
      <c r="F76" t="s">
        <v>278</v>
      </c>
      <c r="G76" t="s">
        <v>237</v>
      </c>
      <c r="H76">
        <v>18</v>
      </c>
      <c r="I76">
        <v>19</v>
      </c>
      <c r="J76">
        <v>1</v>
      </c>
      <c r="K76">
        <v>4561.31005859375</v>
      </c>
      <c r="L76">
        <v>4401</v>
      </c>
      <c r="M76">
        <v>10000</v>
      </c>
      <c r="N76">
        <v>46</v>
      </c>
    </row>
    <row r="77" spans="1:14" x14ac:dyDescent="0.25">
      <c r="A77">
        <v>75</v>
      </c>
      <c r="B77">
        <v>167034</v>
      </c>
      <c r="C77">
        <v>200080399</v>
      </c>
      <c r="D77">
        <v>200068420</v>
      </c>
      <c r="E77" t="s">
        <v>213</v>
      </c>
      <c r="F77" t="s">
        <v>279</v>
      </c>
      <c r="G77" t="s">
        <v>237</v>
      </c>
      <c r="H77">
        <v>16</v>
      </c>
      <c r="I77">
        <v>18</v>
      </c>
      <c r="J77">
        <v>2</v>
      </c>
      <c r="K77">
        <v>5347.93994140625</v>
      </c>
      <c r="L77">
        <v>5146</v>
      </c>
      <c r="M77">
        <v>10000</v>
      </c>
      <c r="N77">
        <v>53</v>
      </c>
    </row>
    <row r="78" spans="1:14" x14ac:dyDescent="0.25">
      <c r="A78">
        <v>76</v>
      </c>
      <c r="B78">
        <v>167256</v>
      </c>
      <c r="C78">
        <v>200192878</v>
      </c>
      <c r="D78">
        <v>200214298</v>
      </c>
      <c r="E78" t="s">
        <v>280</v>
      </c>
      <c r="F78" t="s">
        <v>259</v>
      </c>
      <c r="G78" t="s">
        <v>244</v>
      </c>
      <c r="H78">
        <v>2</v>
      </c>
      <c r="I78">
        <v>2</v>
      </c>
      <c r="J78">
        <v>0</v>
      </c>
      <c r="K78">
        <v>0</v>
      </c>
      <c r="L78">
        <v>0</v>
      </c>
      <c r="M78">
        <v>6500</v>
      </c>
      <c r="N78">
        <v>0</v>
      </c>
    </row>
    <row r="79" spans="1:14" x14ac:dyDescent="0.25">
      <c r="A79">
        <v>77</v>
      </c>
      <c r="B79">
        <v>167256</v>
      </c>
      <c r="C79">
        <v>200214298</v>
      </c>
      <c r="D79">
        <v>200192878</v>
      </c>
      <c r="E79" t="s">
        <v>280</v>
      </c>
      <c r="F79" t="s">
        <v>259</v>
      </c>
      <c r="G79" t="s">
        <v>244</v>
      </c>
      <c r="H79">
        <v>2</v>
      </c>
      <c r="I79">
        <v>2</v>
      </c>
      <c r="J79">
        <v>0</v>
      </c>
      <c r="K79">
        <v>0</v>
      </c>
      <c r="L79">
        <v>0</v>
      </c>
      <c r="M79">
        <v>6500</v>
      </c>
      <c r="N79">
        <v>0</v>
      </c>
    </row>
    <row r="80" spans="1:14" x14ac:dyDescent="0.25">
      <c r="A80">
        <v>78</v>
      </c>
      <c r="B80">
        <v>167261</v>
      </c>
      <c r="C80">
        <v>200214298</v>
      </c>
      <c r="D80">
        <v>200209442</v>
      </c>
      <c r="E80" t="s">
        <v>240</v>
      </c>
      <c r="F80" t="s">
        <v>281</v>
      </c>
      <c r="G80" t="s">
        <v>237</v>
      </c>
      <c r="H80">
        <v>22</v>
      </c>
      <c r="I80">
        <v>25</v>
      </c>
      <c r="J80">
        <v>2</v>
      </c>
      <c r="K80">
        <v>15521.7197265625</v>
      </c>
      <c r="L80">
        <v>14981</v>
      </c>
      <c r="M80">
        <v>17750</v>
      </c>
      <c r="N80">
        <v>87</v>
      </c>
    </row>
    <row r="81" spans="1:14" x14ac:dyDescent="0.25">
      <c r="A81">
        <v>79</v>
      </c>
      <c r="B81">
        <v>167262</v>
      </c>
      <c r="C81">
        <v>200211588</v>
      </c>
      <c r="D81">
        <v>200192878</v>
      </c>
      <c r="E81" t="s">
        <v>240</v>
      </c>
      <c r="F81" t="s">
        <v>282</v>
      </c>
      <c r="G81" t="s">
        <v>237</v>
      </c>
      <c r="H81">
        <v>22</v>
      </c>
      <c r="I81">
        <v>24</v>
      </c>
      <c r="J81">
        <v>2</v>
      </c>
      <c r="K81">
        <v>15064.5302734375</v>
      </c>
      <c r="L81">
        <v>14496</v>
      </c>
      <c r="M81">
        <v>17750</v>
      </c>
      <c r="N81">
        <v>85</v>
      </c>
    </row>
    <row r="82" spans="1:14" x14ac:dyDescent="0.25">
      <c r="A82">
        <v>80</v>
      </c>
      <c r="B82">
        <v>167263</v>
      </c>
      <c r="C82">
        <v>200209442</v>
      </c>
      <c r="D82">
        <v>200211588</v>
      </c>
      <c r="E82" t="s">
        <v>213</v>
      </c>
      <c r="F82" t="s">
        <v>239</v>
      </c>
      <c r="G82" t="s">
        <v>215</v>
      </c>
      <c r="H82">
        <v>1</v>
      </c>
      <c r="I82">
        <v>1</v>
      </c>
      <c r="J82">
        <v>0</v>
      </c>
      <c r="K82">
        <v>0</v>
      </c>
      <c r="L82">
        <v>0</v>
      </c>
      <c r="M82">
        <v>8875</v>
      </c>
      <c r="N82">
        <v>0</v>
      </c>
    </row>
    <row r="83" spans="1:14" x14ac:dyDescent="0.25">
      <c r="A83">
        <v>81</v>
      </c>
      <c r="B83">
        <v>167263</v>
      </c>
      <c r="C83">
        <v>200211588</v>
      </c>
      <c r="D83">
        <v>200209442</v>
      </c>
      <c r="E83" t="s">
        <v>213</v>
      </c>
      <c r="F83" t="s">
        <v>239</v>
      </c>
      <c r="G83" t="s">
        <v>215</v>
      </c>
      <c r="H83">
        <v>1</v>
      </c>
      <c r="I83">
        <v>1</v>
      </c>
      <c r="J83">
        <v>0</v>
      </c>
      <c r="K83">
        <v>0</v>
      </c>
      <c r="L83">
        <v>0</v>
      </c>
      <c r="M83">
        <v>8875</v>
      </c>
      <c r="N83">
        <v>0</v>
      </c>
    </row>
    <row r="84" spans="1:14" x14ac:dyDescent="0.25">
      <c r="A84">
        <v>82</v>
      </c>
      <c r="B84">
        <v>179150</v>
      </c>
      <c r="C84">
        <v>200016938</v>
      </c>
      <c r="D84">
        <v>200074489</v>
      </c>
      <c r="E84" t="s">
        <v>213</v>
      </c>
      <c r="F84" t="s">
        <v>283</v>
      </c>
      <c r="G84" t="s">
        <v>237</v>
      </c>
      <c r="H84">
        <v>20</v>
      </c>
      <c r="I84">
        <v>20</v>
      </c>
      <c r="J84">
        <v>0</v>
      </c>
      <c r="K84">
        <v>551.58001708984375</v>
      </c>
      <c r="L84">
        <v>316</v>
      </c>
      <c r="M84">
        <v>10000</v>
      </c>
      <c r="N84">
        <v>6</v>
      </c>
    </row>
    <row r="85" spans="1:14" x14ac:dyDescent="0.25">
      <c r="A85">
        <v>83</v>
      </c>
      <c r="B85">
        <v>179151</v>
      </c>
      <c r="C85">
        <v>200017032</v>
      </c>
      <c r="D85">
        <v>200080399</v>
      </c>
      <c r="E85" t="s">
        <v>213</v>
      </c>
      <c r="F85" t="s">
        <v>284</v>
      </c>
      <c r="G85" t="s">
        <v>237</v>
      </c>
      <c r="H85">
        <v>18</v>
      </c>
      <c r="I85">
        <v>18</v>
      </c>
      <c r="J85">
        <v>0</v>
      </c>
      <c r="K85">
        <v>370.72000122070313</v>
      </c>
      <c r="L85">
        <v>234</v>
      </c>
      <c r="M85">
        <v>10000</v>
      </c>
      <c r="N85">
        <v>4</v>
      </c>
    </row>
    <row r="86" spans="1:14" x14ac:dyDescent="0.25">
      <c r="A86">
        <v>84</v>
      </c>
      <c r="B86">
        <v>180655</v>
      </c>
      <c r="C86">
        <v>200077446</v>
      </c>
      <c r="D86">
        <v>200200996</v>
      </c>
      <c r="E86" t="s">
        <v>240</v>
      </c>
      <c r="F86" t="s">
        <v>257</v>
      </c>
      <c r="G86" t="s">
        <v>237</v>
      </c>
      <c r="H86">
        <v>1</v>
      </c>
      <c r="I86">
        <v>1</v>
      </c>
      <c r="J86">
        <v>0</v>
      </c>
      <c r="K86">
        <v>0</v>
      </c>
      <c r="L86">
        <v>0</v>
      </c>
      <c r="M86">
        <v>15800</v>
      </c>
      <c r="N86">
        <v>0</v>
      </c>
    </row>
    <row r="87" spans="1:14" x14ac:dyDescent="0.25">
      <c r="A87">
        <v>85</v>
      </c>
      <c r="B87">
        <v>180657</v>
      </c>
      <c r="C87">
        <v>200076049</v>
      </c>
      <c r="D87">
        <v>200200996</v>
      </c>
      <c r="E87" t="s">
        <v>213</v>
      </c>
      <c r="F87" t="s">
        <v>276</v>
      </c>
      <c r="G87" t="s">
        <v>242</v>
      </c>
      <c r="H87">
        <v>7</v>
      </c>
      <c r="I87">
        <v>7</v>
      </c>
      <c r="J87">
        <v>0</v>
      </c>
      <c r="K87">
        <v>0</v>
      </c>
      <c r="L87">
        <v>0</v>
      </c>
      <c r="M87">
        <v>15000</v>
      </c>
      <c r="N87">
        <v>0</v>
      </c>
    </row>
    <row r="88" spans="1:14" x14ac:dyDescent="0.25">
      <c r="A88">
        <v>86</v>
      </c>
      <c r="B88">
        <v>180658</v>
      </c>
      <c r="C88">
        <v>200203177</v>
      </c>
      <c r="D88">
        <v>200080485</v>
      </c>
      <c r="E88" t="s">
        <v>240</v>
      </c>
      <c r="F88" t="s">
        <v>285</v>
      </c>
      <c r="G88" t="s">
        <v>237</v>
      </c>
      <c r="H88">
        <v>1</v>
      </c>
      <c r="I88">
        <v>1</v>
      </c>
      <c r="J88">
        <v>0</v>
      </c>
      <c r="K88">
        <v>0</v>
      </c>
      <c r="L88">
        <v>0</v>
      </c>
      <c r="M88">
        <v>15800</v>
      </c>
      <c r="N88">
        <v>0</v>
      </c>
    </row>
    <row r="89" spans="1:14" x14ac:dyDescent="0.25">
      <c r="A89">
        <v>87</v>
      </c>
      <c r="B89">
        <v>180659</v>
      </c>
      <c r="C89">
        <v>200203177</v>
      </c>
      <c r="D89">
        <v>200079030</v>
      </c>
      <c r="E89" t="s">
        <v>213</v>
      </c>
      <c r="F89" t="s">
        <v>243</v>
      </c>
      <c r="G89" t="s">
        <v>242</v>
      </c>
      <c r="H89">
        <v>5</v>
      </c>
      <c r="I89">
        <v>5</v>
      </c>
      <c r="J89">
        <v>0</v>
      </c>
      <c r="K89">
        <v>0</v>
      </c>
      <c r="L89">
        <v>0</v>
      </c>
      <c r="M89">
        <v>15000</v>
      </c>
      <c r="N89">
        <v>0</v>
      </c>
    </row>
    <row r="90" spans="1:14" x14ac:dyDescent="0.25">
      <c r="A90">
        <v>88</v>
      </c>
      <c r="B90">
        <v>640275</v>
      </c>
      <c r="C90">
        <v>200202110</v>
      </c>
      <c r="D90">
        <v>200206427</v>
      </c>
      <c r="E90" t="s">
        <v>286</v>
      </c>
      <c r="F90" t="s">
        <v>287</v>
      </c>
      <c r="G90" t="s">
        <v>275</v>
      </c>
      <c r="H90">
        <v>6</v>
      </c>
      <c r="I90">
        <v>7</v>
      </c>
      <c r="J90">
        <v>1</v>
      </c>
      <c r="K90">
        <v>6809.58984375</v>
      </c>
      <c r="L90">
        <v>6574</v>
      </c>
      <c r="M90">
        <v>7100</v>
      </c>
      <c r="N90">
        <v>96</v>
      </c>
    </row>
    <row r="91" spans="1:14" x14ac:dyDescent="0.25">
      <c r="A91">
        <v>89</v>
      </c>
      <c r="B91">
        <v>640275</v>
      </c>
      <c r="C91">
        <v>200206427</v>
      </c>
      <c r="D91">
        <v>200202110</v>
      </c>
      <c r="E91" t="s">
        <v>286</v>
      </c>
      <c r="F91" t="s">
        <v>287</v>
      </c>
      <c r="G91" t="s">
        <v>275</v>
      </c>
      <c r="H91">
        <v>6</v>
      </c>
      <c r="I91">
        <v>6</v>
      </c>
      <c r="J91">
        <v>0</v>
      </c>
      <c r="K91">
        <v>2370.72998046875</v>
      </c>
      <c r="L91">
        <v>2202</v>
      </c>
      <c r="M91">
        <v>7100</v>
      </c>
      <c r="N91">
        <v>33</v>
      </c>
    </row>
    <row r="92" spans="1:14" x14ac:dyDescent="0.25">
      <c r="A92">
        <v>90</v>
      </c>
      <c r="B92">
        <v>640300</v>
      </c>
      <c r="C92">
        <v>200077446</v>
      </c>
      <c r="D92">
        <v>200080485</v>
      </c>
      <c r="E92" t="s">
        <v>288</v>
      </c>
      <c r="F92" t="s">
        <v>289</v>
      </c>
      <c r="G92" t="s">
        <v>275</v>
      </c>
      <c r="H92">
        <v>1</v>
      </c>
      <c r="I92">
        <v>1</v>
      </c>
      <c r="J92">
        <v>0</v>
      </c>
      <c r="K92">
        <v>0</v>
      </c>
      <c r="L92">
        <v>0</v>
      </c>
      <c r="M92">
        <v>7100</v>
      </c>
      <c r="N92">
        <v>0</v>
      </c>
    </row>
    <row r="93" spans="1:14" x14ac:dyDescent="0.25">
      <c r="A93">
        <v>91</v>
      </c>
      <c r="B93">
        <v>640300</v>
      </c>
      <c r="C93">
        <v>200080485</v>
      </c>
      <c r="D93">
        <v>200077446</v>
      </c>
      <c r="E93" t="s">
        <v>288</v>
      </c>
      <c r="F93" t="s">
        <v>289</v>
      </c>
      <c r="G93" t="s">
        <v>275</v>
      </c>
      <c r="H93">
        <v>1</v>
      </c>
      <c r="I93">
        <v>1</v>
      </c>
      <c r="J93">
        <v>0</v>
      </c>
      <c r="K93">
        <v>0</v>
      </c>
      <c r="L93">
        <v>0</v>
      </c>
      <c r="M93">
        <v>7100</v>
      </c>
      <c r="N93">
        <v>0</v>
      </c>
    </row>
    <row r="94" spans="1:14" x14ac:dyDescent="0.25">
      <c r="A94">
        <v>92</v>
      </c>
      <c r="B94">
        <v>641029</v>
      </c>
      <c r="C94">
        <v>200076049</v>
      </c>
      <c r="D94">
        <v>200077446</v>
      </c>
      <c r="E94" t="s">
        <v>288</v>
      </c>
      <c r="F94" t="s">
        <v>261</v>
      </c>
      <c r="G94" t="s">
        <v>275</v>
      </c>
      <c r="H94">
        <v>2</v>
      </c>
      <c r="I94">
        <v>2</v>
      </c>
      <c r="J94">
        <v>0</v>
      </c>
      <c r="K94">
        <v>0</v>
      </c>
      <c r="L94">
        <v>0</v>
      </c>
      <c r="M94">
        <v>7100</v>
      </c>
      <c r="N94">
        <v>0</v>
      </c>
    </row>
    <row r="95" spans="1:14" x14ac:dyDescent="0.25">
      <c r="A95">
        <v>93</v>
      </c>
      <c r="B95">
        <v>641029</v>
      </c>
      <c r="C95">
        <v>200077446</v>
      </c>
      <c r="D95">
        <v>200076049</v>
      </c>
      <c r="E95" t="s">
        <v>288</v>
      </c>
      <c r="F95" t="s">
        <v>261</v>
      </c>
      <c r="G95" t="s">
        <v>275</v>
      </c>
      <c r="H95">
        <v>2</v>
      </c>
      <c r="I95">
        <v>2</v>
      </c>
      <c r="J95">
        <v>0</v>
      </c>
      <c r="K95">
        <v>0</v>
      </c>
      <c r="L95">
        <v>0</v>
      </c>
      <c r="M95">
        <v>7100</v>
      </c>
      <c r="N95">
        <v>0</v>
      </c>
    </row>
    <row r="96" spans="1:14" x14ac:dyDescent="0.25">
      <c r="A96">
        <v>94</v>
      </c>
      <c r="B96">
        <v>641030</v>
      </c>
      <c r="C96">
        <v>200079030</v>
      </c>
      <c r="D96">
        <v>200080485</v>
      </c>
      <c r="E96" t="s">
        <v>288</v>
      </c>
      <c r="F96" t="s">
        <v>272</v>
      </c>
      <c r="G96" t="s">
        <v>244</v>
      </c>
      <c r="H96">
        <v>2</v>
      </c>
      <c r="I96">
        <v>2</v>
      </c>
      <c r="J96">
        <v>0</v>
      </c>
      <c r="K96">
        <v>0</v>
      </c>
      <c r="L96">
        <v>0</v>
      </c>
      <c r="M96">
        <v>7100</v>
      </c>
      <c r="N96">
        <v>0</v>
      </c>
    </row>
    <row r="97" spans="1:14" x14ac:dyDescent="0.25">
      <c r="A97">
        <v>95</v>
      </c>
      <c r="B97">
        <v>641030</v>
      </c>
      <c r="C97">
        <v>200080485</v>
      </c>
      <c r="D97">
        <v>200079030</v>
      </c>
      <c r="E97" t="s">
        <v>288</v>
      </c>
      <c r="F97" t="s">
        <v>272</v>
      </c>
      <c r="G97" t="s">
        <v>244</v>
      </c>
      <c r="H97">
        <v>2</v>
      </c>
      <c r="I97">
        <v>2</v>
      </c>
      <c r="J97">
        <v>0</v>
      </c>
      <c r="K97">
        <v>0</v>
      </c>
      <c r="L97">
        <v>0</v>
      </c>
      <c r="M97">
        <v>7100</v>
      </c>
      <c r="N97">
        <v>0</v>
      </c>
    </row>
    <row r="98" spans="1:14" x14ac:dyDescent="0.25">
      <c r="A98">
        <v>96</v>
      </c>
      <c r="B98">
        <v>723302</v>
      </c>
      <c r="C98">
        <v>200213622</v>
      </c>
      <c r="D98">
        <v>200020249</v>
      </c>
      <c r="E98" t="s">
        <v>230</v>
      </c>
      <c r="F98" t="s">
        <v>253</v>
      </c>
      <c r="G98" t="s">
        <v>232</v>
      </c>
      <c r="H98">
        <v>4</v>
      </c>
      <c r="I98">
        <v>6</v>
      </c>
      <c r="J98">
        <v>2</v>
      </c>
      <c r="K98">
        <v>23600.220703125</v>
      </c>
      <c r="L98">
        <v>21364</v>
      </c>
      <c r="M98">
        <v>19900</v>
      </c>
      <c r="N98">
        <v>119</v>
      </c>
    </row>
    <row r="99" spans="1:14" x14ac:dyDescent="0.25">
      <c r="A99">
        <v>97</v>
      </c>
      <c r="B99">
        <v>731849</v>
      </c>
      <c r="C99">
        <v>200211437</v>
      </c>
      <c r="D99">
        <v>200213622</v>
      </c>
      <c r="E99" t="s">
        <v>240</v>
      </c>
      <c r="F99" t="s">
        <v>271</v>
      </c>
      <c r="G99" t="s">
        <v>232</v>
      </c>
      <c r="H99">
        <v>9</v>
      </c>
      <c r="I99">
        <v>15</v>
      </c>
      <c r="J99">
        <v>6</v>
      </c>
      <c r="K99">
        <v>24869.75</v>
      </c>
      <c r="L99">
        <v>22559</v>
      </c>
      <c r="M99">
        <v>19900</v>
      </c>
      <c r="N99">
        <v>125</v>
      </c>
    </row>
    <row r="100" spans="1:14" x14ac:dyDescent="0.25">
      <c r="A100">
        <v>98</v>
      </c>
      <c r="B100">
        <v>776024</v>
      </c>
      <c r="C100">
        <v>200021491</v>
      </c>
      <c r="D100">
        <v>200027088</v>
      </c>
      <c r="E100" t="s">
        <v>265</v>
      </c>
      <c r="F100" t="s">
        <v>290</v>
      </c>
      <c r="G100" t="s">
        <v>221</v>
      </c>
      <c r="H100">
        <v>11</v>
      </c>
      <c r="I100">
        <v>12</v>
      </c>
      <c r="J100">
        <v>1</v>
      </c>
      <c r="K100">
        <v>5478.39990234375</v>
      </c>
      <c r="L100">
        <v>5352</v>
      </c>
      <c r="M100">
        <v>7100</v>
      </c>
      <c r="N100">
        <v>77</v>
      </c>
    </row>
    <row r="101" spans="1:14" x14ac:dyDescent="0.25">
      <c r="A101">
        <v>99</v>
      </c>
      <c r="B101">
        <v>776024</v>
      </c>
      <c r="C101">
        <v>200027088</v>
      </c>
      <c r="D101">
        <v>200021491</v>
      </c>
      <c r="E101" t="s">
        <v>265</v>
      </c>
      <c r="F101" t="s">
        <v>290</v>
      </c>
      <c r="G101" t="s">
        <v>221</v>
      </c>
      <c r="H101">
        <v>11</v>
      </c>
      <c r="I101">
        <v>11</v>
      </c>
      <c r="J101">
        <v>0</v>
      </c>
      <c r="K101">
        <v>1435.77001953125</v>
      </c>
      <c r="L101">
        <v>1427</v>
      </c>
      <c r="M101">
        <v>7100</v>
      </c>
      <c r="N101">
        <v>20</v>
      </c>
    </row>
    <row r="102" spans="1:14" x14ac:dyDescent="0.25">
      <c r="A102">
        <v>100</v>
      </c>
      <c r="B102">
        <v>1025324</v>
      </c>
      <c r="C102">
        <v>200022851</v>
      </c>
      <c r="D102">
        <v>200068775</v>
      </c>
      <c r="E102" t="s">
        <v>291</v>
      </c>
      <c r="F102" t="s">
        <v>292</v>
      </c>
      <c r="G102" t="s">
        <v>224</v>
      </c>
      <c r="H102">
        <v>60</v>
      </c>
      <c r="I102">
        <v>68</v>
      </c>
      <c r="J102">
        <v>7</v>
      </c>
      <c r="K102">
        <v>21652.140625</v>
      </c>
      <c r="L102">
        <v>18344</v>
      </c>
      <c r="M102">
        <v>33000</v>
      </c>
      <c r="N102">
        <v>66</v>
      </c>
    </row>
    <row r="103" spans="1:14" x14ac:dyDescent="0.25">
      <c r="A103">
        <v>101</v>
      </c>
      <c r="B103">
        <v>1042974</v>
      </c>
      <c r="C103">
        <v>200019836</v>
      </c>
      <c r="D103">
        <v>200066924</v>
      </c>
      <c r="E103" t="s">
        <v>228</v>
      </c>
      <c r="F103" t="s">
        <v>293</v>
      </c>
      <c r="G103" t="s">
        <v>224</v>
      </c>
      <c r="H103">
        <v>31</v>
      </c>
      <c r="I103">
        <v>32</v>
      </c>
      <c r="J103">
        <v>0</v>
      </c>
      <c r="K103">
        <v>9969.7197265625</v>
      </c>
      <c r="L103">
        <v>8349</v>
      </c>
      <c r="M103">
        <v>33000</v>
      </c>
      <c r="N103">
        <v>30</v>
      </c>
    </row>
    <row r="104" spans="1:14" x14ac:dyDescent="0.25">
      <c r="A104">
        <v>102</v>
      </c>
      <c r="B104">
        <v>1383416</v>
      </c>
      <c r="C104">
        <v>200198064</v>
      </c>
      <c r="D104">
        <v>200206438</v>
      </c>
      <c r="E104" t="s">
        <v>240</v>
      </c>
      <c r="F104" t="s">
        <v>294</v>
      </c>
      <c r="G104" t="s">
        <v>237</v>
      </c>
      <c r="H104">
        <v>17</v>
      </c>
      <c r="I104">
        <v>19</v>
      </c>
      <c r="J104">
        <v>2</v>
      </c>
      <c r="K104">
        <v>15602.259765625</v>
      </c>
      <c r="L104">
        <v>15096</v>
      </c>
      <c r="M104">
        <v>17750</v>
      </c>
      <c r="N104">
        <v>88</v>
      </c>
    </row>
    <row r="105" spans="1:14" x14ac:dyDescent="0.25">
      <c r="A105">
        <v>103</v>
      </c>
      <c r="B105">
        <v>1666431</v>
      </c>
      <c r="C105">
        <v>200192827</v>
      </c>
      <c r="D105">
        <v>200198863</v>
      </c>
      <c r="E105" t="s">
        <v>286</v>
      </c>
      <c r="F105" t="s">
        <v>295</v>
      </c>
      <c r="G105" t="s">
        <v>275</v>
      </c>
      <c r="H105">
        <v>7</v>
      </c>
      <c r="I105">
        <v>7</v>
      </c>
      <c r="J105">
        <v>1</v>
      </c>
      <c r="K105">
        <v>6037.330078125</v>
      </c>
      <c r="L105">
        <v>5856</v>
      </c>
      <c r="M105">
        <v>7100</v>
      </c>
      <c r="N105">
        <v>85</v>
      </c>
    </row>
    <row r="106" spans="1:14" x14ac:dyDescent="0.25">
      <c r="A106">
        <v>104</v>
      </c>
      <c r="B106">
        <v>1666431</v>
      </c>
      <c r="C106">
        <v>200198863</v>
      </c>
      <c r="D106">
        <v>200192827</v>
      </c>
      <c r="E106" t="s">
        <v>286</v>
      </c>
      <c r="F106" t="s">
        <v>295</v>
      </c>
      <c r="G106" t="s">
        <v>275</v>
      </c>
      <c r="H106">
        <v>7</v>
      </c>
      <c r="I106">
        <v>8</v>
      </c>
      <c r="J106">
        <v>1</v>
      </c>
      <c r="K106">
        <v>7096.009765625</v>
      </c>
      <c r="L106">
        <v>6855</v>
      </c>
      <c r="M106">
        <v>7100</v>
      </c>
      <c r="N106">
        <v>100</v>
      </c>
    </row>
    <row r="107" spans="1:14" x14ac:dyDescent="0.25">
      <c r="A107">
        <v>105</v>
      </c>
      <c r="B107">
        <v>1725881</v>
      </c>
      <c r="C107">
        <v>200068775</v>
      </c>
      <c r="D107">
        <v>200025831</v>
      </c>
      <c r="E107" t="s">
        <v>291</v>
      </c>
      <c r="F107" t="s">
        <v>296</v>
      </c>
      <c r="G107" t="s">
        <v>224</v>
      </c>
      <c r="H107">
        <v>28</v>
      </c>
      <c r="I107">
        <v>30</v>
      </c>
      <c r="J107">
        <v>1</v>
      </c>
      <c r="K107">
        <v>17280.439453125</v>
      </c>
      <c r="L107">
        <v>14831</v>
      </c>
      <c r="M107">
        <v>35000</v>
      </c>
      <c r="N107">
        <v>49</v>
      </c>
    </row>
    <row r="108" spans="1:14" x14ac:dyDescent="0.25">
      <c r="A108">
        <v>106</v>
      </c>
      <c r="B108">
        <v>1978857</v>
      </c>
      <c r="C108">
        <v>200074067</v>
      </c>
      <c r="D108">
        <v>200077051</v>
      </c>
      <c r="E108" t="s">
        <v>297</v>
      </c>
      <c r="F108" t="s">
        <v>298</v>
      </c>
      <c r="G108" t="s">
        <v>221</v>
      </c>
      <c r="H108">
        <v>6</v>
      </c>
      <c r="I108">
        <v>8</v>
      </c>
      <c r="J108">
        <v>1</v>
      </c>
      <c r="K108">
        <v>9044.7900390625</v>
      </c>
      <c r="L108">
        <v>7430</v>
      </c>
      <c r="M108">
        <v>7800</v>
      </c>
      <c r="N108">
        <v>116</v>
      </c>
    </row>
    <row r="109" spans="1:14" x14ac:dyDescent="0.25">
      <c r="A109">
        <v>107</v>
      </c>
      <c r="B109">
        <v>1978857</v>
      </c>
      <c r="C109">
        <v>200077051</v>
      </c>
      <c r="D109">
        <v>200074067</v>
      </c>
      <c r="E109" t="s">
        <v>297</v>
      </c>
      <c r="F109" t="s">
        <v>298</v>
      </c>
      <c r="G109" t="s">
        <v>221</v>
      </c>
      <c r="H109">
        <v>6</v>
      </c>
      <c r="I109">
        <v>7</v>
      </c>
      <c r="J109">
        <v>1</v>
      </c>
      <c r="K109">
        <v>6993.5400390625</v>
      </c>
      <c r="L109">
        <v>6203</v>
      </c>
      <c r="M109">
        <v>7800</v>
      </c>
      <c r="N109">
        <v>90</v>
      </c>
    </row>
    <row r="110" spans="1:14" x14ac:dyDescent="0.25">
      <c r="A110">
        <v>108</v>
      </c>
      <c r="B110">
        <v>2486936</v>
      </c>
      <c r="C110">
        <v>200017032</v>
      </c>
      <c r="D110">
        <v>200068420</v>
      </c>
      <c r="E110" t="s">
        <v>225</v>
      </c>
      <c r="F110" t="s">
        <v>299</v>
      </c>
      <c r="G110" t="s">
        <v>224</v>
      </c>
      <c r="H110">
        <v>19</v>
      </c>
      <c r="I110">
        <v>23</v>
      </c>
      <c r="J110">
        <v>3</v>
      </c>
      <c r="K110">
        <v>25133.919921875</v>
      </c>
      <c r="L110">
        <v>18033</v>
      </c>
      <c r="M110">
        <v>35000</v>
      </c>
      <c r="N110">
        <v>72</v>
      </c>
    </row>
    <row r="111" spans="1:14" x14ac:dyDescent="0.25">
      <c r="A111">
        <v>109</v>
      </c>
      <c r="B111">
        <v>2627732</v>
      </c>
      <c r="C111">
        <v>200205402</v>
      </c>
      <c r="D111">
        <v>200200624</v>
      </c>
      <c r="E111" t="s">
        <v>240</v>
      </c>
      <c r="F111" t="s">
        <v>300</v>
      </c>
      <c r="G111" t="s">
        <v>232</v>
      </c>
      <c r="H111">
        <v>19</v>
      </c>
      <c r="I111">
        <v>23</v>
      </c>
      <c r="J111">
        <v>4</v>
      </c>
      <c r="K111">
        <v>20866.109375</v>
      </c>
      <c r="L111">
        <v>18680</v>
      </c>
      <c r="M111">
        <v>19900</v>
      </c>
      <c r="N111">
        <v>105</v>
      </c>
    </row>
    <row r="112" spans="1:14" x14ac:dyDescent="0.25">
      <c r="A112">
        <v>110</v>
      </c>
      <c r="B112">
        <v>2784042</v>
      </c>
      <c r="C112">
        <v>200016896</v>
      </c>
      <c r="D112">
        <v>200027735</v>
      </c>
      <c r="E112" t="s">
        <v>213</v>
      </c>
      <c r="F112" t="s">
        <v>234</v>
      </c>
      <c r="G112" t="s">
        <v>215</v>
      </c>
      <c r="H112">
        <v>33</v>
      </c>
      <c r="I112">
        <v>35</v>
      </c>
      <c r="J112">
        <v>2</v>
      </c>
      <c r="K112">
        <v>4520</v>
      </c>
      <c r="L112">
        <v>3617</v>
      </c>
      <c r="M112">
        <v>10000</v>
      </c>
      <c r="N112">
        <v>45</v>
      </c>
    </row>
    <row r="113" spans="1:14" x14ac:dyDescent="0.25">
      <c r="A113">
        <v>111</v>
      </c>
      <c r="B113">
        <v>3213207</v>
      </c>
      <c r="C113">
        <v>200202827</v>
      </c>
      <c r="D113">
        <v>200211437</v>
      </c>
      <c r="E113" t="s">
        <v>240</v>
      </c>
      <c r="F113" t="s">
        <v>301</v>
      </c>
      <c r="G113" t="s">
        <v>232</v>
      </c>
      <c r="H113">
        <v>19</v>
      </c>
      <c r="I113">
        <v>33</v>
      </c>
      <c r="J113">
        <v>14</v>
      </c>
      <c r="K113">
        <v>24881.560546875</v>
      </c>
      <c r="L113">
        <v>22572</v>
      </c>
      <c r="M113">
        <v>19900</v>
      </c>
      <c r="N113">
        <v>125</v>
      </c>
    </row>
    <row r="114" spans="1:14" x14ac:dyDescent="0.25">
      <c r="A114">
        <v>112</v>
      </c>
      <c r="B114">
        <v>3463821</v>
      </c>
      <c r="C114">
        <v>200068775</v>
      </c>
      <c r="D114">
        <v>200082348</v>
      </c>
      <c r="E114" t="s">
        <v>213</v>
      </c>
      <c r="F114" t="s">
        <v>302</v>
      </c>
      <c r="G114" t="s">
        <v>215</v>
      </c>
      <c r="H114">
        <v>22</v>
      </c>
      <c r="I114">
        <v>23</v>
      </c>
      <c r="J114">
        <v>1</v>
      </c>
      <c r="K114">
        <v>4371.7001953125</v>
      </c>
      <c r="L114">
        <v>3512</v>
      </c>
      <c r="M114">
        <v>10000</v>
      </c>
      <c r="N114">
        <v>44</v>
      </c>
    </row>
    <row r="115" spans="1:14" x14ac:dyDescent="0.25">
      <c r="A115">
        <v>113</v>
      </c>
      <c r="B115">
        <v>3770946</v>
      </c>
      <c r="C115">
        <v>200198336</v>
      </c>
      <c r="D115">
        <v>200211588</v>
      </c>
      <c r="E115" t="s">
        <v>240</v>
      </c>
      <c r="F115" t="s">
        <v>269</v>
      </c>
      <c r="G115" t="s">
        <v>237</v>
      </c>
      <c r="H115">
        <v>10</v>
      </c>
      <c r="I115">
        <v>11</v>
      </c>
      <c r="J115">
        <v>1</v>
      </c>
      <c r="K115">
        <v>15064.5302734375</v>
      </c>
      <c r="L115">
        <v>14496</v>
      </c>
      <c r="M115">
        <v>17750</v>
      </c>
      <c r="N115">
        <v>85</v>
      </c>
    </row>
    <row r="116" spans="1:14" x14ac:dyDescent="0.25">
      <c r="A116">
        <v>114</v>
      </c>
      <c r="B116">
        <v>3826199</v>
      </c>
      <c r="C116">
        <v>200212588</v>
      </c>
      <c r="D116">
        <v>200202494</v>
      </c>
      <c r="E116" t="s">
        <v>240</v>
      </c>
      <c r="F116" t="s">
        <v>303</v>
      </c>
      <c r="G116" t="s">
        <v>232</v>
      </c>
      <c r="H116">
        <v>22</v>
      </c>
      <c r="I116">
        <v>28</v>
      </c>
      <c r="J116">
        <v>6</v>
      </c>
      <c r="K116">
        <v>20365.439453125</v>
      </c>
      <c r="L116">
        <v>19693</v>
      </c>
      <c r="M116">
        <v>17750</v>
      </c>
      <c r="N116">
        <v>115</v>
      </c>
    </row>
    <row r="117" spans="1:14" x14ac:dyDescent="0.25">
      <c r="A117">
        <v>115</v>
      </c>
      <c r="B117">
        <v>3836297</v>
      </c>
      <c r="C117">
        <v>200031453</v>
      </c>
      <c r="D117">
        <v>200212894</v>
      </c>
      <c r="E117" t="s">
        <v>219</v>
      </c>
      <c r="F117" t="s">
        <v>304</v>
      </c>
      <c r="G117" t="s">
        <v>221</v>
      </c>
      <c r="H117">
        <v>38</v>
      </c>
      <c r="I117">
        <v>44</v>
      </c>
      <c r="J117">
        <v>6</v>
      </c>
      <c r="K117">
        <v>16085.5498046875</v>
      </c>
      <c r="L117">
        <v>13537</v>
      </c>
      <c r="M117">
        <v>15800</v>
      </c>
      <c r="N117">
        <v>102</v>
      </c>
    </row>
    <row r="118" spans="1:14" x14ac:dyDescent="0.25">
      <c r="A118">
        <v>116</v>
      </c>
      <c r="B118">
        <v>3836297</v>
      </c>
      <c r="C118">
        <v>200212894</v>
      </c>
      <c r="D118">
        <v>200031453</v>
      </c>
      <c r="E118" t="s">
        <v>219</v>
      </c>
      <c r="F118" t="s">
        <v>304</v>
      </c>
      <c r="G118" t="s">
        <v>221</v>
      </c>
      <c r="H118">
        <v>38</v>
      </c>
      <c r="I118">
        <v>42</v>
      </c>
      <c r="J118">
        <v>3</v>
      </c>
      <c r="K118">
        <v>13545.009765625</v>
      </c>
      <c r="L118">
        <v>11346</v>
      </c>
      <c r="M118">
        <v>15800</v>
      </c>
      <c r="N118">
        <v>86</v>
      </c>
    </row>
    <row r="119" spans="1:14" x14ac:dyDescent="0.25">
      <c r="A119">
        <v>117</v>
      </c>
      <c r="B119">
        <v>3869226</v>
      </c>
      <c r="C119">
        <v>200031488</v>
      </c>
      <c r="D119">
        <v>200074489</v>
      </c>
      <c r="E119" t="s">
        <v>222</v>
      </c>
      <c r="F119" t="s">
        <v>305</v>
      </c>
      <c r="G119" t="s">
        <v>224</v>
      </c>
      <c r="H119">
        <v>21</v>
      </c>
      <c r="I119">
        <v>26</v>
      </c>
      <c r="J119">
        <v>4</v>
      </c>
      <c r="K119">
        <v>25969.16015625</v>
      </c>
      <c r="L119">
        <v>18820</v>
      </c>
      <c r="M119">
        <v>35000</v>
      </c>
      <c r="N119">
        <v>74</v>
      </c>
    </row>
    <row r="120" spans="1:14" x14ac:dyDescent="0.25">
      <c r="A120">
        <v>118</v>
      </c>
      <c r="B120">
        <v>3876849</v>
      </c>
      <c r="C120">
        <v>200082684</v>
      </c>
      <c r="D120">
        <v>200019154</v>
      </c>
      <c r="E120" t="s">
        <v>225</v>
      </c>
      <c r="F120" t="s">
        <v>306</v>
      </c>
      <c r="G120" t="s">
        <v>224</v>
      </c>
      <c r="H120">
        <v>20</v>
      </c>
      <c r="I120">
        <v>23</v>
      </c>
      <c r="J120">
        <v>2</v>
      </c>
      <c r="K120">
        <v>21416.4296875</v>
      </c>
      <c r="L120">
        <v>16495</v>
      </c>
      <c r="M120">
        <v>35000</v>
      </c>
      <c r="N120">
        <v>61</v>
      </c>
    </row>
    <row r="121" spans="1:14" x14ac:dyDescent="0.25">
      <c r="A121">
        <v>119</v>
      </c>
      <c r="B121">
        <v>3909986</v>
      </c>
      <c r="C121">
        <v>200031453</v>
      </c>
      <c r="D121">
        <v>200068383</v>
      </c>
      <c r="E121" t="s">
        <v>219</v>
      </c>
      <c r="F121" t="s">
        <v>307</v>
      </c>
      <c r="G121" t="s">
        <v>235</v>
      </c>
      <c r="H121">
        <v>9</v>
      </c>
      <c r="I121">
        <v>10</v>
      </c>
      <c r="J121">
        <v>1</v>
      </c>
      <c r="K121">
        <v>16368.4501953125</v>
      </c>
      <c r="L121">
        <v>13781</v>
      </c>
      <c r="M121">
        <v>15800</v>
      </c>
      <c r="N121">
        <v>104</v>
      </c>
    </row>
    <row r="122" spans="1:14" x14ac:dyDescent="0.25">
      <c r="A122">
        <v>120</v>
      </c>
      <c r="B122">
        <v>3909986</v>
      </c>
      <c r="C122">
        <v>200068383</v>
      </c>
      <c r="D122">
        <v>200031453</v>
      </c>
      <c r="E122" t="s">
        <v>219</v>
      </c>
      <c r="F122" t="s">
        <v>307</v>
      </c>
      <c r="G122" t="s">
        <v>235</v>
      </c>
      <c r="H122">
        <v>9</v>
      </c>
      <c r="I122">
        <v>9</v>
      </c>
      <c r="J122">
        <v>0</v>
      </c>
      <c r="K122">
        <v>9268.490234375</v>
      </c>
      <c r="L122">
        <v>7471</v>
      </c>
      <c r="M122">
        <v>15800</v>
      </c>
      <c r="N122">
        <v>59</v>
      </c>
    </row>
    <row r="123" spans="1:14" x14ac:dyDescent="0.25">
      <c r="A123">
        <v>121</v>
      </c>
      <c r="B123">
        <v>3984516</v>
      </c>
      <c r="C123">
        <v>200193494</v>
      </c>
      <c r="D123">
        <v>200214298</v>
      </c>
      <c r="E123" t="s">
        <v>240</v>
      </c>
      <c r="F123" t="s">
        <v>308</v>
      </c>
      <c r="G123" t="s">
        <v>232</v>
      </c>
      <c r="H123">
        <v>36</v>
      </c>
      <c r="I123">
        <v>40</v>
      </c>
      <c r="J123">
        <v>5</v>
      </c>
      <c r="K123">
        <v>16968.94921875</v>
      </c>
      <c r="L123">
        <v>16391</v>
      </c>
      <c r="M123">
        <v>17750</v>
      </c>
      <c r="N123">
        <v>96</v>
      </c>
    </row>
    <row r="124" spans="1:14" x14ac:dyDescent="0.25">
      <c r="A124">
        <v>122</v>
      </c>
      <c r="B124">
        <v>4218497</v>
      </c>
      <c r="C124">
        <v>200196941</v>
      </c>
      <c r="D124">
        <v>200194451</v>
      </c>
      <c r="E124" t="s">
        <v>240</v>
      </c>
      <c r="F124" t="s">
        <v>309</v>
      </c>
      <c r="G124" t="s">
        <v>237</v>
      </c>
      <c r="H124">
        <v>14</v>
      </c>
      <c r="I124">
        <v>15</v>
      </c>
      <c r="J124">
        <v>1</v>
      </c>
      <c r="K124">
        <v>11061.650390625</v>
      </c>
      <c r="L124">
        <v>10712</v>
      </c>
      <c r="M124">
        <v>15800</v>
      </c>
      <c r="N124">
        <v>70</v>
      </c>
    </row>
    <row r="125" spans="1:14" x14ac:dyDescent="0.25">
      <c r="A125">
        <v>123</v>
      </c>
      <c r="B125">
        <v>4443842</v>
      </c>
      <c r="C125">
        <v>200080747</v>
      </c>
      <c r="D125">
        <v>200074726</v>
      </c>
      <c r="E125" t="s">
        <v>222</v>
      </c>
      <c r="F125" t="s">
        <v>310</v>
      </c>
      <c r="G125" t="s">
        <v>224</v>
      </c>
      <c r="H125">
        <v>20</v>
      </c>
      <c r="I125">
        <v>22</v>
      </c>
      <c r="J125">
        <v>2</v>
      </c>
      <c r="K125">
        <v>21045.810546875</v>
      </c>
      <c r="L125">
        <v>15691</v>
      </c>
      <c r="M125">
        <v>35000</v>
      </c>
      <c r="N125">
        <v>60</v>
      </c>
    </row>
    <row r="126" spans="1:14" x14ac:dyDescent="0.25">
      <c r="A126">
        <v>124</v>
      </c>
      <c r="B126">
        <v>4695977</v>
      </c>
      <c r="C126">
        <v>200029513</v>
      </c>
      <c r="D126">
        <v>200206100</v>
      </c>
      <c r="E126" t="s">
        <v>247</v>
      </c>
      <c r="F126" t="s">
        <v>311</v>
      </c>
      <c r="G126" t="s">
        <v>235</v>
      </c>
      <c r="H126">
        <v>44</v>
      </c>
      <c r="I126">
        <v>47</v>
      </c>
      <c r="J126">
        <v>3</v>
      </c>
      <c r="K126">
        <v>6098.2001953125</v>
      </c>
      <c r="L126">
        <v>5808</v>
      </c>
      <c r="M126">
        <v>7800</v>
      </c>
      <c r="N126">
        <v>78</v>
      </c>
    </row>
    <row r="127" spans="1:14" x14ac:dyDescent="0.25">
      <c r="A127">
        <v>125</v>
      </c>
      <c r="B127">
        <v>4695977</v>
      </c>
      <c r="C127">
        <v>200206100</v>
      </c>
      <c r="D127">
        <v>200029513</v>
      </c>
      <c r="E127" t="s">
        <v>247</v>
      </c>
      <c r="F127" t="s">
        <v>311</v>
      </c>
      <c r="G127" t="s">
        <v>235</v>
      </c>
      <c r="H127">
        <v>44</v>
      </c>
      <c r="I127">
        <v>49</v>
      </c>
      <c r="J127">
        <v>6</v>
      </c>
      <c r="K127">
        <v>7686.06005859375</v>
      </c>
      <c r="L127">
        <v>7234</v>
      </c>
      <c r="M127">
        <v>7800</v>
      </c>
      <c r="N127">
        <v>99</v>
      </c>
    </row>
    <row r="128" spans="1:14" x14ac:dyDescent="0.25">
      <c r="A128">
        <v>126</v>
      </c>
      <c r="B128">
        <v>4886024</v>
      </c>
      <c r="C128">
        <v>200076049</v>
      </c>
      <c r="D128">
        <v>200198863</v>
      </c>
      <c r="E128" t="s">
        <v>288</v>
      </c>
      <c r="F128" t="s">
        <v>258</v>
      </c>
      <c r="G128" t="s">
        <v>275</v>
      </c>
      <c r="H128">
        <v>36</v>
      </c>
      <c r="I128">
        <v>40</v>
      </c>
      <c r="J128">
        <v>3</v>
      </c>
      <c r="K128">
        <v>5755.52001953125</v>
      </c>
      <c r="L128">
        <v>5538</v>
      </c>
      <c r="M128">
        <v>7100</v>
      </c>
      <c r="N128">
        <v>81</v>
      </c>
    </row>
    <row r="129" spans="1:14" x14ac:dyDescent="0.25">
      <c r="A129">
        <v>127</v>
      </c>
      <c r="B129">
        <v>4886024</v>
      </c>
      <c r="C129">
        <v>200198863</v>
      </c>
      <c r="D129">
        <v>200076049</v>
      </c>
      <c r="E129" t="s">
        <v>288</v>
      </c>
      <c r="F129" t="s">
        <v>258</v>
      </c>
      <c r="G129" t="s">
        <v>275</v>
      </c>
      <c r="H129">
        <v>36</v>
      </c>
      <c r="I129">
        <v>38</v>
      </c>
      <c r="J129">
        <v>2</v>
      </c>
      <c r="K129">
        <v>4630.31982421875</v>
      </c>
      <c r="L129">
        <v>4475</v>
      </c>
      <c r="M129">
        <v>7100</v>
      </c>
      <c r="N129">
        <v>65</v>
      </c>
    </row>
    <row r="130" spans="1:14" x14ac:dyDescent="0.25">
      <c r="A130">
        <v>128</v>
      </c>
      <c r="B130">
        <v>4926897</v>
      </c>
      <c r="C130">
        <v>200024300</v>
      </c>
      <c r="D130">
        <v>200198873</v>
      </c>
      <c r="E130" t="s">
        <v>240</v>
      </c>
      <c r="F130" t="s">
        <v>312</v>
      </c>
      <c r="G130" t="s">
        <v>237</v>
      </c>
      <c r="H130">
        <v>57</v>
      </c>
      <c r="I130">
        <v>59</v>
      </c>
      <c r="J130">
        <v>2</v>
      </c>
      <c r="K130">
        <v>10002.849609375</v>
      </c>
      <c r="L130">
        <v>9650</v>
      </c>
      <c r="M130">
        <v>15800</v>
      </c>
      <c r="N130">
        <v>63</v>
      </c>
    </row>
    <row r="131" spans="1:14" x14ac:dyDescent="0.25">
      <c r="A131">
        <v>129</v>
      </c>
      <c r="B131">
        <v>5095332</v>
      </c>
      <c r="C131">
        <v>200203651</v>
      </c>
      <c r="D131">
        <v>200212894</v>
      </c>
      <c r="E131" t="s">
        <v>219</v>
      </c>
      <c r="F131" t="s">
        <v>313</v>
      </c>
      <c r="G131" t="s">
        <v>221</v>
      </c>
      <c r="H131">
        <v>81</v>
      </c>
      <c r="I131">
        <v>87</v>
      </c>
      <c r="J131">
        <v>6</v>
      </c>
      <c r="K131">
        <v>12646.4697265625</v>
      </c>
      <c r="L131">
        <v>10568</v>
      </c>
      <c r="M131">
        <v>15800</v>
      </c>
      <c r="N131">
        <v>80</v>
      </c>
    </row>
    <row r="132" spans="1:14" x14ac:dyDescent="0.25">
      <c r="A132">
        <v>130</v>
      </c>
      <c r="B132">
        <v>5095332</v>
      </c>
      <c r="C132">
        <v>200212894</v>
      </c>
      <c r="D132">
        <v>200203651</v>
      </c>
      <c r="E132" t="s">
        <v>219</v>
      </c>
      <c r="F132" t="s">
        <v>313</v>
      </c>
      <c r="G132" t="s">
        <v>221</v>
      </c>
      <c r="H132">
        <v>81</v>
      </c>
      <c r="I132">
        <v>92</v>
      </c>
      <c r="J132">
        <v>11</v>
      </c>
      <c r="K132">
        <v>15811.740234375</v>
      </c>
      <c r="L132">
        <v>13320</v>
      </c>
      <c r="M132">
        <v>15800</v>
      </c>
      <c r="N132">
        <v>100</v>
      </c>
    </row>
    <row r="133" spans="1:14" x14ac:dyDescent="0.25">
      <c r="A133">
        <v>131</v>
      </c>
      <c r="B133">
        <v>5355611</v>
      </c>
      <c r="C133">
        <v>200030818</v>
      </c>
      <c r="D133">
        <v>200031488</v>
      </c>
      <c r="E133" t="s">
        <v>222</v>
      </c>
      <c r="F133" t="s">
        <v>314</v>
      </c>
      <c r="G133" t="s">
        <v>224</v>
      </c>
      <c r="H133">
        <v>63</v>
      </c>
      <c r="I133">
        <v>102</v>
      </c>
      <c r="J133">
        <v>38</v>
      </c>
      <c r="K133">
        <v>30530.470703125</v>
      </c>
      <c r="L133">
        <v>23222</v>
      </c>
      <c r="M133">
        <v>35000</v>
      </c>
      <c r="N133">
        <v>87</v>
      </c>
    </row>
    <row r="134" spans="1:14" x14ac:dyDescent="0.25">
      <c r="A134">
        <v>132</v>
      </c>
      <c r="B134">
        <v>5374046</v>
      </c>
      <c r="C134">
        <v>200018857</v>
      </c>
      <c r="D134">
        <v>200077423</v>
      </c>
      <c r="E134" t="s">
        <v>225</v>
      </c>
      <c r="F134" t="s">
        <v>315</v>
      </c>
      <c r="G134" t="s">
        <v>224</v>
      </c>
      <c r="H134">
        <v>26</v>
      </c>
      <c r="I134">
        <v>29</v>
      </c>
      <c r="J134">
        <v>2</v>
      </c>
      <c r="K134">
        <v>21157.689453125</v>
      </c>
      <c r="L134">
        <v>15987</v>
      </c>
      <c r="M134">
        <v>35000</v>
      </c>
      <c r="N134">
        <v>60</v>
      </c>
    </row>
    <row r="135" spans="1:14" x14ac:dyDescent="0.25">
      <c r="A135">
        <v>133</v>
      </c>
      <c r="B135">
        <v>5635916</v>
      </c>
      <c r="C135">
        <v>200205103</v>
      </c>
      <c r="D135">
        <v>200198064</v>
      </c>
      <c r="E135" t="s">
        <v>240</v>
      </c>
      <c r="F135" t="s">
        <v>316</v>
      </c>
      <c r="G135" t="s">
        <v>237</v>
      </c>
      <c r="H135">
        <v>9</v>
      </c>
      <c r="I135">
        <v>10</v>
      </c>
      <c r="J135">
        <v>1</v>
      </c>
      <c r="K135">
        <v>15521.7197265625</v>
      </c>
      <c r="L135">
        <v>14981</v>
      </c>
      <c r="M135">
        <v>17750</v>
      </c>
      <c r="N135">
        <v>87</v>
      </c>
    </row>
    <row r="136" spans="1:14" x14ac:dyDescent="0.25">
      <c r="A136">
        <v>134</v>
      </c>
      <c r="B136">
        <v>5645399</v>
      </c>
      <c r="C136">
        <v>200192827</v>
      </c>
      <c r="D136">
        <v>200198612</v>
      </c>
      <c r="E136" t="s">
        <v>286</v>
      </c>
      <c r="F136" t="s">
        <v>302</v>
      </c>
      <c r="G136" t="s">
        <v>275</v>
      </c>
      <c r="H136">
        <v>25</v>
      </c>
      <c r="I136">
        <v>28</v>
      </c>
      <c r="J136">
        <v>3</v>
      </c>
      <c r="K136">
        <v>6498.10009765625</v>
      </c>
      <c r="L136">
        <v>6304</v>
      </c>
      <c r="M136">
        <v>7100</v>
      </c>
      <c r="N136">
        <v>92</v>
      </c>
    </row>
    <row r="137" spans="1:14" x14ac:dyDescent="0.25">
      <c r="A137">
        <v>135</v>
      </c>
      <c r="B137">
        <v>5645399</v>
      </c>
      <c r="C137">
        <v>200198612</v>
      </c>
      <c r="D137">
        <v>200192827</v>
      </c>
      <c r="E137" t="s">
        <v>286</v>
      </c>
      <c r="F137" t="s">
        <v>302</v>
      </c>
      <c r="G137" t="s">
        <v>275</v>
      </c>
      <c r="H137">
        <v>25</v>
      </c>
      <c r="I137">
        <v>28</v>
      </c>
      <c r="J137">
        <v>3</v>
      </c>
      <c r="K137">
        <v>5969.9599609375</v>
      </c>
      <c r="L137">
        <v>5799</v>
      </c>
      <c r="M137">
        <v>7100</v>
      </c>
      <c r="N137">
        <v>84</v>
      </c>
    </row>
    <row r="138" spans="1:14" x14ac:dyDescent="0.25">
      <c r="A138">
        <v>136</v>
      </c>
      <c r="B138">
        <v>5804774</v>
      </c>
      <c r="C138">
        <v>200194730</v>
      </c>
      <c r="D138">
        <v>200202405</v>
      </c>
      <c r="E138" t="s">
        <v>240</v>
      </c>
      <c r="F138" t="s">
        <v>317</v>
      </c>
      <c r="G138" t="s">
        <v>237</v>
      </c>
      <c r="H138">
        <v>30</v>
      </c>
      <c r="I138">
        <v>33</v>
      </c>
      <c r="J138">
        <v>3</v>
      </c>
      <c r="K138">
        <v>15139.75</v>
      </c>
      <c r="L138">
        <v>14604</v>
      </c>
      <c r="M138">
        <v>17750</v>
      </c>
      <c r="N138">
        <v>85</v>
      </c>
    </row>
    <row r="139" spans="1:14" x14ac:dyDescent="0.25">
      <c r="A139">
        <v>137</v>
      </c>
      <c r="B139">
        <v>6005871</v>
      </c>
      <c r="C139">
        <v>200211959</v>
      </c>
      <c r="D139">
        <v>200193255</v>
      </c>
      <c r="E139" t="s">
        <v>240</v>
      </c>
      <c r="F139" t="s">
        <v>318</v>
      </c>
      <c r="G139" t="s">
        <v>232</v>
      </c>
      <c r="H139">
        <v>17</v>
      </c>
      <c r="I139">
        <v>18</v>
      </c>
      <c r="J139">
        <v>1</v>
      </c>
      <c r="K139">
        <v>15397.3603515625</v>
      </c>
      <c r="L139">
        <v>14721</v>
      </c>
      <c r="M139">
        <v>19900</v>
      </c>
      <c r="N139">
        <v>77</v>
      </c>
    </row>
    <row r="140" spans="1:14" x14ac:dyDescent="0.25">
      <c r="A140">
        <v>138</v>
      </c>
      <c r="B140">
        <v>6234192</v>
      </c>
      <c r="C140">
        <v>200028133</v>
      </c>
      <c r="D140">
        <v>200077423</v>
      </c>
      <c r="E140" t="s">
        <v>213</v>
      </c>
      <c r="F140" t="s">
        <v>319</v>
      </c>
      <c r="G140" t="s">
        <v>235</v>
      </c>
      <c r="H140">
        <v>28</v>
      </c>
      <c r="I140">
        <v>28</v>
      </c>
      <c r="J140">
        <v>0</v>
      </c>
      <c r="K140">
        <v>1257.920043945312</v>
      </c>
      <c r="L140">
        <v>1256</v>
      </c>
      <c r="M140">
        <v>10000</v>
      </c>
      <c r="N140">
        <v>13</v>
      </c>
    </row>
    <row r="141" spans="1:14" x14ac:dyDescent="0.25">
      <c r="A141">
        <v>139</v>
      </c>
      <c r="B141">
        <v>6287816</v>
      </c>
      <c r="C141">
        <v>200027735</v>
      </c>
      <c r="D141">
        <v>200019836</v>
      </c>
      <c r="E141" t="s">
        <v>228</v>
      </c>
      <c r="F141" t="s">
        <v>320</v>
      </c>
      <c r="G141" t="s">
        <v>224</v>
      </c>
      <c r="H141">
        <v>63</v>
      </c>
      <c r="I141">
        <v>70</v>
      </c>
      <c r="J141">
        <v>6</v>
      </c>
      <c r="K141">
        <v>20383.080078125</v>
      </c>
      <c r="L141">
        <v>17287</v>
      </c>
      <c r="M141">
        <v>33000</v>
      </c>
      <c r="N141">
        <v>62</v>
      </c>
    </row>
    <row r="142" spans="1:14" x14ac:dyDescent="0.25">
      <c r="A142">
        <v>140</v>
      </c>
      <c r="B142">
        <v>6334947</v>
      </c>
      <c r="C142">
        <v>200018361</v>
      </c>
      <c r="D142">
        <v>200198863</v>
      </c>
      <c r="E142" t="s">
        <v>273</v>
      </c>
      <c r="F142" t="s">
        <v>321</v>
      </c>
      <c r="G142" t="s">
        <v>275</v>
      </c>
      <c r="H142">
        <v>63</v>
      </c>
      <c r="I142">
        <v>63</v>
      </c>
      <c r="J142">
        <v>0</v>
      </c>
      <c r="K142">
        <v>1340.5</v>
      </c>
      <c r="L142">
        <v>1316</v>
      </c>
      <c r="M142">
        <v>7100</v>
      </c>
      <c r="N142">
        <v>19</v>
      </c>
    </row>
    <row r="143" spans="1:14" x14ac:dyDescent="0.25">
      <c r="A143">
        <v>141</v>
      </c>
      <c r="B143">
        <v>6334947</v>
      </c>
      <c r="C143">
        <v>200198863</v>
      </c>
      <c r="D143">
        <v>200018361</v>
      </c>
      <c r="E143" t="s">
        <v>273</v>
      </c>
      <c r="F143" t="s">
        <v>321</v>
      </c>
      <c r="G143" t="s">
        <v>275</v>
      </c>
      <c r="H143">
        <v>63</v>
      </c>
      <c r="I143">
        <v>63</v>
      </c>
      <c r="J143">
        <v>0</v>
      </c>
      <c r="K143">
        <v>1407.02001953125</v>
      </c>
      <c r="L143">
        <v>1380</v>
      </c>
      <c r="M143">
        <v>7100</v>
      </c>
      <c r="N143">
        <v>20</v>
      </c>
    </row>
    <row r="144" spans="1:14" x14ac:dyDescent="0.25">
      <c r="A144">
        <v>142</v>
      </c>
      <c r="B144">
        <v>6378887</v>
      </c>
      <c r="C144">
        <v>200080392</v>
      </c>
      <c r="D144">
        <v>200019521</v>
      </c>
      <c r="E144" t="s">
        <v>225</v>
      </c>
      <c r="F144" t="s">
        <v>322</v>
      </c>
      <c r="G144" t="s">
        <v>224</v>
      </c>
      <c r="H144">
        <v>79</v>
      </c>
      <c r="I144">
        <v>129</v>
      </c>
      <c r="J144">
        <v>48</v>
      </c>
      <c r="K144">
        <v>30481.859375</v>
      </c>
      <c r="L144">
        <v>23180</v>
      </c>
      <c r="M144">
        <v>35000</v>
      </c>
      <c r="N144">
        <v>87</v>
      </c>
    </row>
    <row r="145" spans="1:14" x14ac:dyDescent="0.25">
      <c r="A145">
        <v>143</v>
      </c>
      <c r="B145">
        <v>6392441</v>
      </c>
      <c r="C145">
        <v>200031840</v>
      </c>
      <c r="D145">
        <v>200022851</v>
      </c>
      <c r="E145" t="s">
        <v>291</v>
      </c>
      <c r="F145" t="s">
        <v>323</v>
      </c>
      <c r="G145" t="s">
        <v>224</v>
      </c>
      <c r="H145">
        <v>31</v>
      </c>
      <c r="I145">
        <v>32</v>
      </c>
      <c r="J145">
        <v>1</v>
      </c>
      <c r="K145">
        <v>13092.8798828125</v>
      </c>
      <c r="L145">
        <v>11170</v>
      </c>
      <c r="M145">
        <v>33000</v>
      </c>
      <c r="N145">
        <v>40</v>
      </c>
    </row>
    <row r="146" spans="1:14" x14ac:dyDescent="0.25">
      <c r="A146">
        <v>144</v>
      </c>
      <c r="B146">
        <v>6402617</v>
      </c>
      <c r="C146">
        <v>200024773</v>
      </c>
      <c r="D146">
        <v>200082684</v>
      </c>
      <c r="E146" t="s">
        <v>225</v>
      </c>
      <c r="F146" t="s">
        <v>324</v>
      </c>
      <c r="G146" t="s">
        <v>224</v>
      </c>
      <c r="H146">
        <v>33</v>
      </c>
      <c r="I146">
        <v>37</v>
      </c>
      <c r="J146">
        <v>3</v>
      </c>
      <c r="K146">
        <v>22415.609375</v>
      </c>
      <c r="L146">
        <v>17243</v>
      </c>
      <c r="M146">
        <v>35000</v>
      </c>
      <c r="N146">
        <v>64</v>
      </c>
    </row>
    <row r="147" spans="1:14" x14ac:dyDescent="0.25">
      <c r="A147">
        <v>145</v>
      </c>
      <c r="B147">
        <v>6566657</v>
      </c>
      <c r="C147">
        <v>200016938</v>
      </c>
      <c r="D147">
        <v>200080399</v>
      </c>
      <c r="E147" t="s">
        <v>325</v>
      </c>
      <c r="F147" t="s">
        <v>326</v>
      </c>
      <c r="G147" t="s">
        <v>235</v>
      </c>
      <c r="H147">
        <v>5</v>
      </c>
      <c r="I147">
        <v>6</v>
      </c>
      <c r="J147">
        <v>1</v>
      </c>
      <c r="K147">
        <v>5922.7998046875</v>
      </c>
      <c r="L147">
        <v>5717</v>
      </c>
      <c r="M147">
        <v>6500</v>
      </c>
      <c r="N147">
        <v>91</v>
      </c>
    </row>
    <row r="148" spans="1:14" x14ac:dyDescent="0.25">
      <c r="A148">
        <v>146</v>
      </c>
      <c r="B148">
        <v>6566657</v>
      </c>
      <c r="C148">
        <v>200080399</v>
      </c>
      <c r="D148">
        <v>200016938</v>
      </c>
      <c r="E148" t="s">
        <v>325</v>
      </c>
      <c r="F148" t="s">
        <v>326</v>
      </c>
      <c r="G148" t="s">
        <v>235</v>
      </c>
      <c r="H148">
        <v>5</v>
      </c>
      <c r="I148">
        <v>5</v>
      </c>
      <c r="J148">
        <v>0</v>
      </c>
      <c r="K148">
        <v>2469.639892578125</v>
      </c>
      <c r="L148">
        <v>2173</v>
      </c>
      <c r="M148">
        <v>6500</v>
      </c>
      <c r="N148">
        <v>38</v>
      </c>
    </row>
    <row r="149" spans="1:14" x14ac:dyDescent="0.25">
      <c r="A149">
        <v>147</v>
      </c>
      <c r="B149">
        <v>6736491</v>
      </c>
      <c r="C149">
        <v>200215436</v>
      </c>
      <c r="D149">
        <v>200215536</v>
      </c>
      <c r="E149" t="s">
        <v>327</v>
      </c>
      <c r="F149" t="s">
        <v>328</v>
      </c>
      <c r="G149" t="s">
        <v>221</v>
      </c>
      <c r="H149">
        <v>81</v>
      </c>
      <c r="I149">
        <v>82</v>
      </c>
      <c r="J149">
        <v>1</v>
      </c>
      <c r="K149">
        <v>2513.010009765625</v>
      </c>
      <c r="L149">
        <v>2087</v>
      </c>
      <c r="M149">
        <v>6500</v>
      </c>
      <c r="N149">
        <v>39</v>
      </c>
    </row>
    <row r="150" spans="1:14" x14ac:dyDescent="0.25">
      <c r="A150">
        <v>148</v>
      </c>
      <c r="B150">
        <v>6736491</v>
      </c>
      <c r="C150">
        <v>200215536</v>
      </c>
      <c r="D150">
        <v>200215436</v>
      </c>
      <c r="E150" t="s">
        <v>327</v>
      </c>
      <c r="F150" t="s">
        <v>328</v>
      </c>
      <c r="G150" t="s">
        <v>221</v>
      </c>
      <c r="H150">
        <v>81</v>
      </c>
      <c r="I150">
        <v>83</v>
      </c>
      <c r="J150">
        <v>2</v>
      </c>
      <c r="K150">
        <v>2662.31005859375</v>
      </c>
      <c r="L150">
        <v>2216</v>
      </c>
      <c r="M150">
        <v>6500</v>
      </c>
      <c r="N150">
        <v>41</v>
      </c>
    </row>
    <row r="151" spans="1:14" x14ac:dyDescent="0.25">
      <c r="A151">
        <v>149</v>
      </c>
      <c r="B151">
        <v>6785456</v>
      </c>
      <c r="C151">
        <v>200192878</v>
      </c>
      <c r="D151">
        <v>200212588</v>
      </c>
      <c r="E151" t="s">
        <v>240</v>
      </c>
      <c r="F151" t="s">
        <v>329</v>
      </c>
      <c r="G151" t="s">
        <v>232</v>
      </c>
      <c r="H151">
        <v>36</v>
      </c>
      <c r="I151">
        <v>41</v>
      </c>
      <c r="J151">
        <v>5</v>
      </c>
      <c r="K151">
        <v>17319.029296875</v>
      </c>
      <c r="L151">
        <v>16702</v>
      </c>
      <c r="M151">
        <v>17750</v>
      </c>
      <c r="N151">
        <v>98</v>
      </c>
    </row>
    <row r="152" spans="1:14" x14ac:dyDescent="0.25">
      <c r="A152">
        <v>150</v>
      </c>
      <c r="B152">
        <v>6986837</v>
      </c>
      <c r="C152">
        <v>200198873</v>
      </c>
      <c r="D152">
        <v>200194730</v>
      </c>
      <c r="E152" t="s">
        <v>240</v>
      </c>
      <c r="F152" t="s">
        <v>330</v>
      </c>
      <c r="G152" t="s">
        <v>237</v>
      </c>
      <c r="H152">
        <v>16</v>
      </c>
      <c r="I152">
        <v>17</v>
      </c>
      <c r="J152">
        <v>1</v>
      </c>
      <c r="K152">
        <v>11935.1103515625</v>
      </c>
      <c r="L152">
        <v>11514</v>
      </c>
      <c r="M152">
        <v>15800</v>
      </c>
      <c r="N152">
        <v>76</v>
      </c>
    </row>
    <row r="153" spans="1:14" x14ac:dyDescent="0.25">
      <c r="A153">
        <v>151</v>
      </c>
      <c r="B153">
        <v>7008224</v>
      </c>
      <c r="C153">
        <v>200203054</v>
      </c>
      <c r="D153">
        <v>200193494</v>
      </c>
      <c r="E153" t="s">
        <v>240</v>
      </c>
      <c r="F153" t="s">
        <v>331</v>
      </c>
      <c r="G153" t="s">
        <v>232</v>
      </c>
      <c r="H153">
        <v>52</v>
      </c>
      <c r="I153">
        <v>65</v>
      </c>
      <c r="J153">
        <v>13</v>
      </c>
      <c r="K153">
        <v>20049.1796875</v>
      </c>
      <c r="L153">
        <v>19404</v>
      </c>
      <c r="M153">
        <v>17750</v>
      </c>
      <c r="N153">
        <v>113</v>
      </c>
    </row>
    <row r="154" spans="1:14" x14ac:dyDescent="0.25">
      <c r="A154">
        <v>152</v>
      </c>
      <c r="B154">
        <v>7033221</v>
      </c>
      <c r="C154">
        <v>200193494</v>
      </c>
      <c r="D154">
        <v>200200596</v>
      </c>
      <c r="E154" t="s">
        <v>250</v>
      </c>
      <c r="F154" t="s">
        <v>332</v>
      </c>
      <c r="G154" t="s">
        <v>221</v>
      </c>
      <c r="H154">
        <v>43</v>
      </c>
      <c r="I154">
        <v>43</v>
      </c>
      <c r="J154">
        <v>0</v>
      </c>
      <c r="K154">
        <v>529.6400146484375</v>
      </c>
      <c r="L154">
        <v>504</v>
      </c>
      <c r="M154">
        <v>6500</v>
      </c>
      <c r="N154">
        <v>8</v>
      </c>
    </row>
    <row r="155" spans="1:14" x14ac:dyDescent="0.25">
      <c r="A155">
        <v>153</v>
      </c>
      <c r="B155">
        <v>7033221</v>
      </c>
      <c r="C155">
        <v>200200596</v>
      </c>
      <c r="D155">
        <v>200193494</v>
      </c>
      <c r="E155" t="s">
        <v>250</v>
      </c>
      <c r="F155" t="s">
        <v>332</v>
      </c>
      <c r="G155" t="s">
        <v>221</v>
      </c>
      <c r="H155">
        <v>43</v>
      </c>
      <c r="I155">
        <v>43</v>
      </c>
      <c r="J155">
        <v>0</v>
      </c>
      <c r="K155">
        <v>495.82000732421881</v>
      </c>
      <c r="L155">
        <v>481</v>
      </c>
      <c r="M155">
        <v>6500</v>
      </c>
      <c r="N155">
        <v>8</v>
      </c>
    </row>
    <row r="156" spans="1:14" x14ac:dyDescent="0.25">
      <c r="A156">
        <v>154</v>
      </c>
      <c r="B156">
        <v>7040372</v>
      </c>
      <c r="C156">
        <v>200079969</v>
      </c>
      <c r="D156">
        <v>200027735</v>
      </c>
      <c r="E156" t="s">
        <v>228</v>
      </c>
      <c r="F156" t="s">
        <v>333</v>
      </c>
      <c r="G156" t="s">
        <v>224</v>
      </c>
      <c r="H156">
        <v>31</v>
      </c>
      <c r="I156">
        <v>33</v>
      </c>
      <c r="J156">
        <v>1</v>
      </c>
      <c r="K156">
        <v>15863.080078125</v>
      </c>
      <c r="L156">
        <v>13669</v>
      </c>
      <c r="M156">
        <v>35000</v>
      </c>
      <c r="N156">
        <v>45</v>
      </c>
    </row>
    <row r="157" spans="1:14" x14ac:dyDescent="0.25">
      <c r="A157">
        <v>155</v>
      </c>
      <c r="B157">
        <v>7122896</v>
      </c>
      <c r="C157">
        <v>200208482</v>
      </c>
      <c r="D157">
        <v>200215790</v>
      </c>
      <c r="E157" t="s">
        <v>240</v>
      </c>
      <c r="F157" t="s">
        <v>334</v>
      </c>
      <c r="G157" t="s">
        <v>232</v>
      </c>
      <c r="H157">
        <v>6</v>
      </c>
      <c r="I157">
        <v>7</v>
      </c>
      <c r="J157">
        <v>1</v>
      </c>
      <c r="K157">
        <v>19148.6796875</v>
      </c>
      <c r="L157">
        <v>17097</v>
      </c>
      <c r="M157">
        <v>19900</v>
      </c>
      <c r="N157">
        <v>96</v>
      </c>
    </row>
    <row r="158" spans="1:14" x14ac:dyDescent="0.25">
      <c r="A158">
        <v>156</v>
      </c>
      <c r="B158">
        <v>7177001</v>
      </c>
      <c r="C158">
        <v>200202494</v>
      </c>
      <c r="D158">
        <v>200211673</v>
      </c>
      <c r="E158" t="s">
        <v>240</v>
      </c>
      <c r="F158" t="s">
        <v>304</v>
      </c>
      <c r="G158" t="s">
        <v>232</v>
      </c>
      <c r="H158">
        <v>29</v>
      </c>
      <c r="I158">
        <v>37</v>
      </c>
      <c r="J158">
        <v>8</v>
      </c>
      <c r="K158">
        <v>20370.150390625</v>
      </c>
      <c r="L158">
        <v>19698</v>
      </c>
      <c r="M158">
        <v>17750</v>
      </c>
      <c r="N158">
        <v>115</v>
      </c>
    </row>
    <row r="159" spans="1:14" x14ac:dyDescent="0.25">
      <c r="A159">
        <v>157</v>
      </c>
      <c r="B159">
        <v>7187849</v>
      </c>
      <c r="C159">
        <v>200206427</v>
      </c>
      <c r="D159">
        <v>200209406</v>
      </c>
      <c r="E159" t="s">
        <v>266</v>
      </c>
      <c r="F159" t="s">
        <v>335</v>
      </c>
      <c r="G159" t="s">
        <v>244</v>
      </c>
      <c r="H159">
        <v>65</v>
      </c>
      <c r="I159">
        <v>66</v>
      </c>
      <c r="J159">
        <v>1</v>
      </c>
      <c r="K159">
        <v>2609.31005859375</v>
      </c>
      <c r="L159">
        <v>2533</v>
      </c>
      <c r="M159">
        <v>7100</v>
      </c>
      <c r="N159">
        <v>37</v>
      </c>
    </row>
    <row r="160" spans="1:14" x14ac:dyDescent="0.25">
      <c r="A160">
        <v>158</v>
      </c>
      <c r="B160">
        <v>7187849</v>
      </c>
      <c r="C160">
        <v>200209406</v>
      </c>
      <c r="D160">
        <v>200206427</v>
      </c>
      <c r="E160" t="s">
        <v>266</v>
      </c>
      <c r="F160" t="s">
        <v>335</v>
      </c>
      <c r="G160" t="s">
        <v>244</v>
      </c>
      <c r="H160">
        <v>65</v>
      </c>
      <c r="I160">
        <v>65</v>
      </c>
      <c r="J160">
        <v>1</v>
      </c>
      <c r="K160">
        <v>1681</v>
      </c>
      <c r="L160">
        <v>1631</v>
      </c>
      <c r="M160">
        <v>7100</v>
      </c>
      <c r="N160">
        <v>24</v>
      </c>
    </row>
    <row r="161" spans="1:14" x14ac:dyDescent="0.25">
      <c r="A161">
        <v>159</v>
      </c>
      <c r="B161">
        <v>7274957</v>
      </c>
      <c r="C161">
        <v>200025501</v>
      </c>
      <c r="D161">
        <v>200031840</v>
      </c>
      <c r="E161" t="s">
        <v>291</v>
      </c>
      <c r="F161" t="s">
        <v>336</v>
      </c>
      <c r="G161" t="s">
        <v>224</v>
      </c>
      <c r="H161">
        <v>68</v>
      </c>
      <c r="I161">
        <v>70</v>
      </c>
      <c r="J161">
        <v>2</v>
      </c>
      <c r="K161">
        <v>13757.4697265625</v>
      </c>
      <c r="L161">
        <v>11524</v>
      </c>
      <c r="M161">
        <v>35000</v>
      </c>
      <c r="N161">
        <v>39</v>
      </c>
    </row>
    <row r="162" spans="1:14" x14ac:dyDescent="0.25">
      <c r="A162">
        <v>160</v>
      </c>
      <c r="B162">
        <v>7329692</v>
      </c>
      <c r="C162">
        <v>200202110</v>
      </c>
      <c r="D162">
        <v>200215735</v>
      </c>
      <c r="E162" t="s">
        <v>265</v>
      </c>
      <c r="F162" t="s">
        <v>337</v>
      </c>
      <c r="G162" t="s">
        <v>221</v>
      </c>
      <c r="H162">
        <v>59</v>
      </c>
      <c r="I162">
        <v>62</v>
      </c>
      <c r="J162">
        <v>4</v>
      </c>
      <c r="K162">
        <v>4853.06982421875</v>
      </c>
      <c r="L162">
        <v>4740</v>
      </c>
      <c r="M162">
        <v>7100</v>
      </c>
      <c r="N162">
        <v>68</v>
      </c>
    </row>
    <row r="163" spans="1:14" x14ac:dyDescent="0.25">
      <c r="A163">
        <v>161</v>
      </c>
      <c r="B163">
        <v>7329692</v>
      </c>
      <c r="C163">
        <v>200215735</v>
      </c>
      <c r="D163">
        <v>200202110</v>
      </c>
      <c r="E163" t="s">
        <v>265</v>
      </c>
      <c r="F163" t="s">
        <v>337</v>
      </c>
      <c r="G163" t="s">
        <v>221</v>
      </c>
      <c r="H163">
        <v>59</v>
      </c>
      <c r="I163">
        <v>65</v>
      </c>
      <c r="J163">
        <v>7</v>
      </c>
      <c r="K163">
        <v>6193.06005859375</v>
      </c>
      <c r="L163">
        <v>6040</v>
      </c>
      <c r="M163">
        <v>7100</v>
      </c>
      <c r="N163">
        <v>87</v>
      </c>
    </row>
    <row r="164" spans="1:14" x14ac:dyDescent="0.25">
      <c r="A164">
        <v>162</v>
      </c>
      <c r="B164">
        <v>7443524</v>
      </c>
      <c r="C164">
        <v>200028166</v>
      </c>
      <c r="D164">
        <v>200080747</v>
      </c>
      <c r="E164" t="s">
        <v>222</v>
      </c>
      <c r="F164" t="s">
        <v>338</v>
      </c>
      <c r="G164" t="s">
        <v>224</v>
      </c>
      <c r="H164">
        <v>53</v>
      </c>
      <c r="I164">
        <v>63</v>
      </c>
      <c r="J164">
        <v>9</v>
      </c>
      <c r="K164">
        <v>25479.109375</v>
      </c>
      <c r="L164">
        <v>20023</v>
      </c>
      <c r="M164">
        <v>35000</v>
      </c>
      <c r="N164">
        <v>73</v>
      </c>
    </row>
    <row r="165" spans="1:14" x14ac:dyDescent="0.25">
      <c r="A165">
        <v>163</v>
      </c>
      <c r="B165">
        <v>7554599</v>
      </c>
      <c r="C165">
        <v>200212505</v>
      </c>
      <c r="D165">
        <v>200203054</v>
      </c>
      <c r="E165" t="s">
        <v>240</v>
      </c>
      <c r="F165" t="s">
        <v>339</v>
      </c>
      <c r="G165" t="s">
        <v>232</v>
      </c>
      <c r="H165">
        <v>18</v>
      </c>
      <c r="I165">
        <v>19</v>
      </c>
      <c r="J165">
        <v>1</v>
      </c>
      <c r="K165">
        <v>13274</v>
      </c>
      <c r="L165">
        <v>12574</v>
      </c>
      <c r="M165">
        <v>19900</v>
      </c>
      <c r="N165">
        <v>67</v>
      </c>
    </row>
    <row r="166" spans="1:14" x14ac:dyDescent="0.25">
      <c r="A166">
        <v>164</v>
      </c>
      <c r="B166">
        <v>7595552</v>
      </c>
      <c r="C166">
        <v>200031150</v>
      </c>
      <c r="D166">
        <v>200071497</v>
      </c>
      <c r="E166" t="s">
        <v>222</v>
      </c>
      <c r="F166" t="s">
        <v>340</v>
      </c>
      <c r="G166" t="s">
        <v>224</v>
      </c>
      <c r="H166">
        <v>19</v>
      </c>
      <c r="I166">
        <v>22</v>
      </c>
      <c r="J166">
        <v>2</v>
      </c>
      <c r="K166">
        <v>22290.810546875</v>
      </c>
      <c r="L166">
        <v>17045</v>
      </c>
      <c r="M166">
        <v>35000</v>
      </c>
      <c r="N166">
        <v>64</v>
      </c>
    </row>
    <row r="167" spans="1:14" x14ac:dyDescent="0.25">
      <c r="A167">
        <v>165</v>
      </c>
      <c r="B167">
        <v>7629149</v>
      </c>
      <c r="C167">
        <v>200080747</v>
      </c>
      <c r="D167">
        <v>200025501</v>
      </c>
      <c r="E167" t="s">
        <v>213</v>
      </c>
      <c r="F167" t="s">
        <v>341</v>
      </c>
      <c r="G167" t="s">
        <v>235</v>
      </c>
      <c r="H167">
        <v>45</v>
      </c>
      <c r="I167">
        <v>48</v>
      </c>
      <c r="J167">
        <v>3</v>
      </c>
      <c r="K167">
        <v>4433.2998046875</v>
      </c>
      <c r="L167">
        <v>4332</v>
      </c>
      <c r="M167">
        <v>10000</v>
      </c>
      <c r="N167">
        <v>44</v>
      </c>
    </row>
    <row r="168" spans="1:14" x14ac:dyDescent="0.25">
      <c r="A168">
        <v>166</v>
      </c>
      <c r="B168">
        <v>7662827</v>
      </c>
      <c r="C168">
        <v>200198612</v>
      </c>
      <c r="D168">
        <v>200206427</v>
      </c>
      <c r="E168" t="s">
        <v>286</v>
      </c>
      <c r="F168" t="s">
        <v>342</v>
      </c>
      <c r="G168" t="s">
        <v>275</v>
      </c>
      <c r="H168">
        <v>29</v>
      </c>
      <c r="I168">
        <v>34</v>
      </c>
      <c r="J168">
        <v>5</v>
      </c>
      <c r="K168">
        <v>7313.830078125</v>
      </c>
      <c r="L168">
        <v>7079</v>
      </c>
      <c r="M168">
        <v>7100</v>
      </c>
      <c r="N168">
        <v>103</v>
      </c>
    </row>
    <row r="169" spans="1:14" x14ac:dyDescent="0.25">
      <c r="A169">
        <v>167</v>
      </c>
      <c r="B169">
        <v>7662827</v>
      </c>
      <c r="C169">
        <v>200206427</v>
      </c>
      <c r="D169">
        <v>200198612</v>
      </c>
      <c r="E169" t="s">
        <v>286</v>
      </c>
      <c r="F169" t="s">
        <v>342</v>
      </c>
      <c r="G169" t="s">
        <v>275</v>
      </c>
      <c r="H169">
        <v>29</v>
      </c>
      <c r="I169">
        <v>33</v>
      </c>
      <c r="J169">
        <v>4</v>
      </c>
      <c r="K169">
        <v>6795.27001953125</v>
      </c>
      <c r="L169">
        <v>6581</v>
      </c>
      <c r="M169">
        <v>7100</v>
      </c>
      <c r="N169">
        <v>96</v>
      </c>
    </row>
    <row r="170" spans="1:14" x14ac:dyDescent="0.25">
      <c r="A170">
        <v>168</v>
      </c>
      <c r="B170">
        <v>7670322</v>
      </c>
      <c r="C170">
        <v>200021491</v>
      </c>
      <c r="D170">
        <v>200215735</v>
      </c>
      <c r="E170" t="s">
        <v>265</v>
      </c>
      <c r="F170" t="s">
        <v>343</v>
      </c>
      <c r="G170" t="s">
        <v>221</v>
      </c>
      <c r="H170">
        <v>11</v>
      </c>
      <c r="I170">
        <v>12</v>
      </c>
      <c r="J170">
        <v>2</v>
      </c>
      <c r="K170">
        <v>6814.3701171875</v>
      </c>
      <c r="L170">
        <v>6647</v>
      </c>
      <c r="M170">
        <v>7100</v>
      </c>
      <c r="N170">
        <v>96</v>
      </c>
    </row>
    <row r="171" spans="1:14" x14ac:dyDescent="0.25">
      <c r="A171">
        <v>169</v>
      </c>
      <c r="B171">
        <v>7670322</v>
      </c>
      <c r="C171">
        <v>200215735</v>
      </c>
      <c r="D171">
        <v>200021491</v>
      </c>
      <c r="E171" t="s">
        <v>265</v>
      </c>
      <c r="F171" t="s">
        <v>343</v>
      </c>
      <c r="G171" t="s">
        <v>221</v>
      </c>
      <c r="H171">
        <v>11</v>
      </c>
      <c r="I171">
        <v>11</v>
      </c>
      <c r="J171">
        <v>1</v>
      </c>
      <c r="K171">
        <v>5478.39990234375</v>
      </c>
      <c r="L171">
        <v>5352</v>
      </c>
      <c r="M171">
        <v>7100</v>
      </c>
      <c r="N171">
        <v>77</v>
      </c>
    </row>
    <row r="172" spans="1:14" x14ac:dyDescent="0.25">
      <c r="A172">
        <v>170</v>
      </c>
      <c r="B172">
        <v>7756802</v>
      </c>
      <c r="C172">
        <v>200028133</v>
      </c>
      <c r="D172">
        <v>200074726</v>
      </c>
      <c r="E172" t="s">
        <v>213</v>
      </c>
      <c r="F172" t="s">
        <v>344</v>
      </c>
      <c r="G172" t="s">
        <v>221</v>
      </c>
      <c r="H172">
        <v>72</v>
      </c>
      <c r="I172">
        <v>78</v>
      </c>
      <c r="J172">
        <v>6</v>
      </c>
      <c r="K172">
        <v>9484.66015625</v>
      </c>
      <c r="L172">
        <v>7531</v>
      </c>
      <c r="M172">
        <v>17500</v>
      </c>
      <c r="N172">
        <v>54</v>
      </c>
    </row>
    <row r="173" spans="1:14" x14ac:dyDescent="0.25">
      <c r="A173">
        <v>171</v>
      </c>
      <c r="B173">
        <v>7931349</v>
      </c>
      <c r="C173">
        <v>200200596</v>
      </c>
      <c r="D173">
        <v>200214298</v>
      </c>
      <c r="E173" t="s">
        <v>280</v>
      </c>
      <c r="F173" t="s">
        <v>345</v>
      </c>
      <c r="G173" t="s">
        <v>244</v>
      </c>
      <c r="H173">
        <v>42</v>
      </c>
      <c r="I173">
        <v>42</v>
      </c>
      <c r="J173">
        <v>0</v>
      </c>
      <c r="K173">
        <v>1336.7099609375</v>
      </c>
      <c r="L173">
        <v>1320</v>
      </c>
      <c r="M173">
        <v>6500</v>
      </c>
      <c r="N173">
        <v>21</v>
      </c>
    </row>
    <row r="174" spans="1:14" x14ac:dyDescent="0.25">
      <c r="A174">
        <v>172</v>
      </c>
      <c r="B174">
        <v>7931349</v>
      </c>
      <c r="C174">
        <v>200214298</v>
      </c>
      <c r="D174">
        <v>200200596</v>
      </c>
      <c r="E174" t="s">
        <v>280</v>
      </c>
      <c r="F174" t="s">
        <v>345</v>
      </c>
      <c r="G174" t="s">
        <v>244</v>
      </c>
      <c r="H174">
        <v>42</v>
      </c>
      <c r="I174">
        <v>42</v>
      </c>
      <c r="J174">
        <v>0</v>
      </c>
      <c r="K174">
        <v>1364.170043945312</v>
      </c>
      <c r="L174">
        <v>1344</v>
      </c>
      <c r="M174">
        <v>6500</v>
      </c>
      <c r="N174">
        <v>21</v>
      </c>
    </row>
    <row r="175" spans="1:14" x14ac:dyDescent="0.25">
      <c r="A175">
        <v>173</v>
      </c>
      <c r="B175">
        <v>7996391</v>
      </c>
      <c r="C175">
        <v>200027647</v>
      </c>
      <c r="D175">
        <v>200080399</v>
      </c>
      <c r="E175" t="s">
        <v>346</v>
      </c>
      <c r="F175" t="s">
        <v>347</v>
      </c>
      <c r="G175" t="s">
        <v>235</v>
      </c>
      <c r="H175">
        <v>184</v>
      </c>
      <c r="I175">
        <v>241</v>
      </c>
      <c r="J175">
        <v>57</v>
      </c>
      <c r="K175">
        <v>7453</v>
      </c>
      <c r="L175">
        <v>6963</v>
      </c>
      <c r="M175">
        <v>6500</v>
      </c>
      <c r="N175">
        <v>115</v>
      </c>
    </row>
    <row r="176" spans="1:14" x14ac:dyDescent="0.25">
      <c r="A176">
        <v>174</v>
      </c>
      <c r="B176">
        <v>7996391</v>
      </c>
      <c r="C176">
        <v>200080399</v>
      </c>
      <c r="D176">
        <v>200027647</v>
      </c>
      <c r="E176" t="s">
        <v>346</v>
      </c>
      <c r="F176" t="s">
        <v>347</v>
      </c>
      <c r="G176" t="s">
        <v>235</v>
      </c>
      <c r="H176">
        <v>184</v>
      </c>
      <c r="I176">
        <v>207</v>
      </c>
      <c r="J176">
        <v>23</v>
      </c>
      <c r="K176">
        <v>5928.93994140625</v>
      </c>
      <c r="L176">
        <v>5594</v>
      </c>
      <c r="M176">
        <v>6500</v>
      </c>
      <c r="N176">
        <v>91</v>
      </c>
    </row>
    <row r="177" spans="1:14" x14ac:dyDescent="0.25">
      <c r="A177">
        <v>175</v>
      </c>
      <c r="B177">
        <v>8004062</v>
      </c>
      <c r="C177">
        <v>200027647</v>
      </c>
      <c r="D177">
        <v>200202110</v>
      </c>
      <c r="E177" t="s">
        <v>286</v>
      </c>
      <c r="F177" t="s">
        <v>348</v>
      </c>
      <c r="G177" t="s">
        <v>275</v>
      </c>
      <c r="H177">
        <v>175</v>
      </c>
      <c r="I177">
        <v>188</v>
      </c>
      <c r="J177">
        <v>13</v>
      </c>
      <c r="K177">
        <v>4794.6298828125</v>
      </c>
      <c r="L177">
        <v>4599</v>
      </c>
      <c r="M177">
        <v>6500</v>
      </c>
      <c r="N177">
        <v>74</v>
      </c>
    </row>
    <row r="178" spans="1:14" x14ac:dyDescent="0.25">
      <c r="A178">
        <v>176</v>
      </c>
      <c r="B178">
        <v>8004062</v>
      </c>
      <c r="C178">
        <v>200202110</v>
      </c>
      <c r="D178">
        <v>200027647</v>
      </c>
      <c r="E178" t="s">
        <v>286</v>
      </c>
      <c r="F178" t="s">
        <v>348</v>
      </c>
      <c r="G178" t="s">
        <v>275</v>
      </c>
      <c r="H178">
        <v>175</v>
      </c>
      <c r="I178">
        <v>200</v>
      </c>
      <c r="J178">
        <v>25</v>
      </c>
      <c r="K178">
        <v>6167.93994140625</v>
      </c>
      <c r="L178">
        <v>5931</v>
      </c>
      <c r="M178">
        <v>6500</v>
      </c>
      <c r="N178">
        <v>95</v>
      </c>
    </row>
    <row r="179" spans="1:14" x14ac:dyDescent="0.25">
      <c r="A179">
        <v>177</v>
      </c>
      <c r="B179">
        <v>8011737</v>
      </c>
      <c r="C179">
        <v>200202405</v>
      </c>
      <c r="D179">
        <v>200198336</v>
      </c>
      <c r="E179" t="s">
        <v>240</v>
      </c>
      <c r="F179" t="s">
        <v>316</v>
      </c>
      <c r="G179" t="s">
        <v>237</v>
      </c>
      <c r="H179">
        <v>9</v>
      </c>
      <c r="I179">
        <v>10</v>
      </c>
      <c r="J179">
        <v>1</v>
      </c>
      <c r="K179">
        <v>15064.5302734375</v>
      </c>
      <c r="L179">
        <v>14496</v>
      </c>
      <c r="M179">
        <v>17750</v>
      </c>
      <c r="N179">
        <v>85</v>
      </c>
    </row>
    <row r="180" spans="1:14" x14ac:dyDescent="0.25">
      <c r="A180">
        <v>178</v>
      </c>
      <c r="B180">
        <v>8077136</v>
      </c>
      <c r="C180">
        <v>200213638</v>
      </c>
      <c r="D180">
        <v>200024300</v>
      </c>
      <c r="E180" t="s">
        <v>240</v>
      </c>
      <c r="F180" t="s">
        <v>349</v>
      </c>
      <c r="G180" t="s">
        <v>237</v>
      </c>
      <c r="H180">
        <v>56</v>
      </c>
      <c r="I180">
        <v>59</v>
      </c>
      <c r="J180">
        <v>3</v>
      </c>
      <c r="K180">
        <v>10497.3798828125</v>
      </c>
      <c r="L180">
        <v>10126</v>
      </c>
      <c r="M180">
        <v>15800</v>
      </c>
      <c r="N180">
        <v>66</v>
      </c>
    </row>
    <row r="181" spans="1:14" x14ac:dyDescent="0.25">
      <c r="A181">
        <v>179</v>
      </c>
      <c r="B181">
        <v>8096426</v>
      </c>
      <c r="C181">
        <v>200018361</v>
      </c>
      <c r="D181">
        <v>200211465</v>
      </c>
      <c r="E181" t="s">
        <v>240</v>
      </c>
      <c r="F181" t="s">
        <v>350</v>
      </c>
      <c r="G181" t="s">
        <v>237</v>
      </c>
      <c r="H181">
        <v>55</v>
      </c>
      <c r="I181">
        <v>58</v>
      </c>
      <c r="J181">
        <v>3</v>
      </c>
      <c r="K181">
        <v>10964.669921875</v>
      </c>
      <c r="L181">
        <v>10645</v>
      </c>
      <c r="M181">
        <v>15800</v>
      </c>
      <c r="N181">
        <v>69</v>
      </c>
    </row>
    <row r="182" spans="1:14" x14ac:dyDescent="0.25">
      <c r="A182">
        <v>180</v>
      </c>
      <c r="B182">
        <v>8111876</v>
      </c>
      <c r="C182">
        <v>200198085</v>
      </c>
      <c r="D182">
        <v>200209972</v>
      </c>
      <c r="E182" t="s">
        <v>247</v>
      </c>
      <c r="F182" t="s">
        <v>351</v>
      </c>
      <c r="G182" t="s">
        <v>235</v>
      </c>
      <c r="H182">
        <v>100</v>
      </c>
      <c r="I182">
        <v>121</v>
      </c>
      <c r="J182">
        <v>21</v>
      </c>
      <c r="K182">
        <v>9188.9296875</v>
      </c>
      <c r="L182">
        <v>8905</v>
      </c>
      <c r="M182">
        <v>7800</v>
      </c>
      <c r="N182">
        <v>118</v>
      </c>
    </row>
    <row r="183" spans="1:14" x14ac:dyDescent="0.25">
      <c r="A183">
        <v>181</v>
      </c>
      <c r="B183">
        <v>8111876</v>
      </c>
      <c r="C183">
        <v>200209972</v>
      </c>
      <c r="D183">
        <v>200198085</v>
      </c>
      <c r="E183" t="s">
        <v>247</v>
      </c>
      <c r="F183" t="s">
        <v>351</v>
      </c>
      <c r="G183" t="s">
        <v>235</v>
      </c>
      <c r="H183">
        <v>100</v>
      </c>
      <c r="I183">
        <v>153</v>
      </c>
      <c r="J183">
        <v>53</v>
      </c>
      <c r="K183">
        <v>10442.83984375</v>
      </c>
      <c r="L183">
        <v>10046</v>
      </c>
      <c r="M183">
        <v>7800</v>
      </c>
      <c r="N183">
        <v>134</v>
      </c>
    </row>
    <row r="184" spans="1:14" x14ac:dyDescent="0.25">
      <c r="A184">
        <v>182</v>
      </c>
      <c r="B184">
        <v>8228261</v>
      </c>
      <c r="C184">
        <v>200194451</v>
      </c>
      <c r="D184">
        <v>200018361</v>
      </c>
      <c r="E184" t="s">
        <v>240</v>
      </c>
      <c r="F184" t="s">
        <v>352</v>
      </c>
      <c r="G184" t="s">
        <v>237</v>
      </c>
      <c r="H184">
        <v>57</v>
      </c>
      <c r="I184">
        <v>59</v>
      </c>
      <c r="J184">
        <v>2</v>
      </c>
      <c r="K184">
        <v>10130.080078125</v>
      </c>
      <c r="L184">
        <v>9826</v>
      </c>
      <c r="M184">
        <v>15800</v>
      </c>
      <c r="N184">
        <v>64</v>
      </c>
    </row>
    <row r="185" spans="1:14" x14ac:dyDescent="0.25">
      <c r="A185">
        <v>183</v>
      </c>
      <c r="B185">
        <v>8275067</v>
      </c>
      <c r="C185">
        <v>200194451</v>
      </c>
      <c r="D185">
        <v>200209406</v>
      </c>
      <c r="E185" t="s">
        <v>266</v>
      </c>
      <c r="F185" t="s">
        <v>353</v>
      </c>
      <c r="G185" t="s">
        <v>244</v>
      </c>
      <c r="H185">
        <v>64</v>
      </c>
      <c r="I185">
        <v>65</v>
      </c>
      <c r="J185">
        <v>1</v>
      </c>
      <c r="K185">
        <v>2086.070068359375</v>
      </c>
      <c r="L185">
        <v>2027</v>
      </c>
      <c r="M185">
        <v>7100</v>
      </c>
      <c r="N185">
        <v>29</v>
      </c>
    </row>
    <row r="186" spans="1:14" x14ac:dyDescent="0.25">
      <c r="A186">
        <v>184</v>
      </c>
      <c r="B186">
        <v>8275067</v>
      </c>
      <c r="C186">
        <v>200209406</v>
      </c>
      <c r="D186">
        <v>200194451</v>
      </c>
      <c r="E186" t="s">
        <v>266</v>
      </c>
      <c r="F186" t="s">
        <v>353</v>
      </c>
      <c r="G186" t="s">
        <v>244</v>
      </c>
      <c r="H186">
        <v>64</v>
      </c>
      <c r="I186">
        <v>65</v>
      </c>
      <c r="J186">
        <v>1</v>
      </c>
      <c r="K186">
        <v>3004.7900390625</v>
      </c>
      <c r="L186">
        <v>2922</v>
      </c>
      <c r="M186">
        <v>7100</v>
      </c>
      <c r="N186">
        <v>42</v>
      </c>
    </row>
    <row r="187" spans="1:14" x14ac:dyDescent="0.25">
      <c r="A187">
        <v>185</v>
      </c>
      <c r="B187">
        <v>39811159</v>
      </c>
      <c r="C187">
        <v>200215436</v>
      </c>
      <c r="D187">
        <v>201147289</v>
      </c>
      <c r="E187" t="s">
        <v>327</v>
      </c>
      <c r="F187" t="s">
        <v>354</v>
      </c>
      <c r="G187" t="s">
        <v>221</v>
      </c>
      <c r="H187">
        <v>91</v>
      </c>
      <c r="I187">
        <v>97</v>
      </c>
      <c r="J187">
        <v>5</v>
      </c>
      <c r="K187">
        <v>4299.68017578125</v>
      </c>
      <c r="L187">
        <v>3646</v>
      </c>
      <c r="M187">
        <v>6500</v>
      </c>
      <c r="N187">
        <v>66</v>
      </c>
    </row>
    <row r="188" spans="1:14" x14ac:dyDescent="0.25">
      <c r="A188">
        <v>186</v>
      </c>
      <c r="B188">
        <v>39811159</v>
      </c>
      <c r="C188">
        <v>201147289</v>
      </c>
      <c r="D188">
        <v>200215436</v>
      </c>
      <c r="E188" t="s">
        <v>327</v>
      </c>
      <c r="F188" t="s">
        <v>354</v>
      </c>
      <c r="G188" t="s">
        <v>221</v>
      </c>
      <c r="H188">
        <v>91</v>
      </c>
      <c r="I188">
        <v>97</v>
      </c>
      <c r="J188">
        <v>5</v>
      </c>
      <c r="K188">
        <v>4303.7099609375</v>
      </c>
      <c r="L188">
        <v>3602</v>
      </c>
      <c r="M188">
        <v>6500</v>
      </c>
      <c r="N188">
        <v>66</v>
      </c>
    </row>
    <row r="189" spans="1:14" x14ac:dyDescent="0.25">
      <c r="A189">
        <v>187</v>
      </c>
      <c r="B189">
        <v>39811213</v>
      </c>
      <c r="C189">
        <v>200193452</v>
      </c>
      <c r="D189">
        <v>201147310</v>
      </c>
      <c r="E189" t="s">
        <v>219</v>
      </c>
      <c r="F189" t="s">
        <v>355</v>
      </c>
      <c r="G189" t="s">
        <v>235</v>
      </c>
      <c r="H189">
        <v>14</v>
      </c>
      <c r="I189">
        <v>16</v>
      </c>
      <c r="J189">
        <v>3</v>
      </c>
      <c r="K189">
        <v>8862.9501953125</v>
      </c>
      <c r="L189">
        <v>8111</v>
      </c>
      <c r="M189">
        <v>7800</v>
      </c>
      <c r="N189">
        <v>114</v>
      </c>
    </row>
    <row r="190" spans="1:14" x14ac:dyDescent="0.25">
      <c r="A190">
        <v>188</v>
      </c>
      <c r="B190">
        <v>39811213</v>
      </c>
      <c r="C190">
        <v>201147310</v>
      </c>
      <c r="D190">
        <v>200193452</v>
      </c>
      <c r="E190" t="s">
        <v>219</v>
      </c>
      <c r="F190" t="s">
        <v>355</v>
      </c>
      <c r="G190" t="s">
        <v>235</v>
      </c>
      <c r="H190">
        <v>14</v>
      </c>
      <c r="I190">
        <v>16</v>
      </c>
      <c r="J190">
        <v>2</v>
      </c>
      <c r="K190">
        <v>8683.16015625</v>
      </c>
      <c r="L190">
        <v>7825</v>
      </c>
      <c r="M190">
        <v>7800</v>
      </c>
      <c r="N190">
        <v>111</v>
      </c>
    </row>
    <row r="191" spans="1:14" x14ac:dyDescent="0.25">
      <c r="A191">
        <v>189</v>
      </c>
      <c r="B191">
        <v>39811216</v>
      </c>
      <c r="C191">
        <v>201147312</v>
      </c>
      <c r="D191">
        <v>200212505</v>
      </c>
      <c r="E191" t="s">
        <v>240</v>
      </c>
      <c r="F191" t="s">
        <v>356</v>
      </c>
      <c r="G191" t="s">
        <v>232</v>
      </c>
      <c r="H191">
        <v>33</v>
      </c>
      <c r="I191">
        <v>35</v>
      </c>
      <c r="J191">
        <v>2</v>
      </c>
      <c r="K191">
        <v>13236.6796875</v>
      </c>
      <c r="L191">
        <v>12542</v>
      </c>
      <c r="M191">
        <v>19900</v>
      </c>
      <c r="N191">
        <v>67</v>
      </c>
    </row>
    <row r="192" spans="1:14" x14ac:dyDescent="0.25">
      <c r="A192">
        <v>190</v>
      </c>
      <c r="B192">
        <v>39811218</v>
      </c>
      <c r="C192">
        <v>200193255</v>
      </c>
      <c r="D192">
        <v>201147313</v>
      </c>
      <c r="E192" t="s">
        <v>240</v>
      </c>
      <c r="F192" t="s">
        <v>357</v>
      </c>
      <c r="G192" t="s">
        <v>232</v>
      </c>
      <c r="H192">
        <v>33</v>
      </c>
      <c r="I192">
        <v>36</v>
      </c>
      <c r="J192">
        <v>3</v>
      </c>
      <c r="K192">
        <v>15385.5498046875</v>
      </c>
      <c r="L192">
        <v>14709</v>
      </c>
      <c r="M192">
        <v>19900</v>
      </c>
      <c r="N192">
        <v>77</v>
      </c>
    </row>
    <row r="193" spans="1:14" x14ac:dyDescent="0.25">
      <c r="A193">
        <v>191</v>
      </c>
      <c r="B193">
        <v>39811222</v>
      </c>
      <c r="C193">
        <v>201147310</v>
      </c>
      <c r="D193">
        <v>201147311</v>
      </c>
      <c r="E193" t="s">
        <v>213</v>
      </c>
      <c r="F193" t="s">
        <v>358</v>
      </c>
      <c r="G193" t="s">
        <v>215</v>
      </c>
      <c r="H193">
        <v>43</v>
      </c>
      <c r="I193">
        <v>43</v>
      </c>
      <c r="J193">
        <v>0</v>
      </c>
      <c r="K193">
        <v>1256.510009765625</v>
      </c>
      <c r="L193">
        <v>1043</v>
      </c>
      <c r="M193">
        <v>6500</v>
      </c>
      <c r="N193">
        <v>19</v>
      </c>
    </row>
    <row r="194" spans="1:14" x14ac:dyDescent="0.25">
      <c r="A194">
        <v>192</v>
      </c>
      <c r="B194">
        <v>39811222</v>
      </c>
      <c r="C194">
        <v>201147311</v>
      </c>
      <c r="D194">
        <v>201147310</v>
      </c>
      <c r="E194" t="s">
        <v>213</v>
      </c>
      <c r="F194" t="s">
        <v>358</v>
      </c>
      <c r="G194" t="s">
        <v>215</v>
      </c>
      <c r="H194">
        <v>43</v>
      </c>
      <c r="I194">
        <v>43</v>
      </c>
      <c r="J194">
        <v>0</v>
      </c>
      <c r="K194">
        <v>1331.160034179688</v>
      </c>
      <c r="L194">
        <v>1108</v>
      </c>
      <c r="M194">
        <v>6500</v>
      </c>
      <c r="N194">
        <v>20</v>
      </c>
    </row>
    <row r="195" spans="1:14" x14ac:dyDescent="0.25">
      <c r="A195">
        <v>193</v>
      </c>
      <c r="B195">
        <v>39811223</v>
      </c>
      <c r="C195">
        <v>201147310</v>
      </c>
      <c r="D195">
        <v>201147314</v>
      </c>
      <c r="E195" t="s">
        <v>219</v>
      </c>
      <c r="F195" t="s">
        <v>359</v>
      </c>
      <c r="G195" t="s">
        <v>235</v>
      </c>
      <c r="H195">
        <v>70</v>
      </c>
      <c r="I195">
        <v>83</v>
      </c>
      <c r="J195">
        <v>12</v>
      </c>
      <c r="K195">
        <v>8685.509765625</v>
      </c>
      <c r="L195">
        <v>8035</v>
      </c>
      <c r="M195">
        <v>7800</v>
      </c>
      <c r="N195">
        <v>111</v>
      </c>
    </row>
    <row r="196" spans="1:14" x14ac:dyDescent="0.25">
      <c r="A196">
        <v>194</v>
      </c>
      <c r="B196">
        <v>39811223</v>
      </c>
      <c r="C196">
        <v>201147314</v>
      </c>
      <c r="D196">
        <v>201147310</v>
      </c>
      <c r="E196" t="s">
        <v>219</v>
      </c>
      <c r="F196" t="s">
        <v>359</v>
      </c>
      <c r="G196" t="s">
        <v>235</v>
      </c>
      <c r="H196">
        <v>70</v>
      </c>
      <c r="I196">
        <v>82</v>
      </c>
      <c r="J196">
        <v>11</v>
      </c>
      <c r="K196">
        <v>8431.0595703125</v>
      </c>
      <c r="L196">
        <v>7684</v>
      </c>
      <c r="M196">
        <v>7800</v>
      </c>
      <c r="N196">
        <v>108</v>
      </c>
    </row>
    <row r="197" spans="1:14" x14ac:dyDescent="0.25">
      <c r="A197">
        <v>195</v>
      </c>
      <c r="B197">
        <v>39811224</v>
      </c>
      <c r="C197">
        <v>200203054</v>
      </c>
      <c r="D197">
        <v>201147314</v>
      </c>
      <c r="E197" t="s">
        <v>219</v>
      </c>
      <c r="F197" t="s">
        <v>360</v>
      </c>
      <c r="G197" t="s">
        <v>235</v>
      </c>
      <c r="H197">
        <v>7</v>
      </c>
      <c r="I197">
        <v>8</v>
      </c>
      <c r="J197">
        <v>1</v>
      </c>
      <c r="K197">
        <v>8905.0498046875</v>
      </c>
      <c r="L197">
        <v>7954</v>
      </c>
      <c r="M197">
        <v>7800</v>
      </c>
      <c r="N197">
        <v>114</v>
      </c>
    </row>
    <row r="198" spans="1:14" x14ac:dyDescent="0.25">
      <c r="A198">
        <v>196</v>
      </c>
      <c r="B198">
        <v>39811224</v>
      </c>
      <c r="C198">
        <v>201147314</v>
      </c>
      <c r="D198">
        <v>200203054</v>
      </c>
      <c r="E198" t="s">
        <v>219</v>
      </c>
      <c r="F198" t="s">
        <v>360</v>
      </c>
      <c r="G198" t="s">
        <v>235</v>
      </c>
      <c r="H198">
        <v>7</v>
      </c>
      <c r="I198">
        <v>8</v>
      </c>
      <c r="J198">
        <v>1</v>
      </c>
      <c r="K198">
        <v>9119.580078125</v>
      </c>
      <c r="L198">
        <v>8380</v>
      </c>
      <c r="M198">
        <v>7800</v>
      </c>
      <c r="N198">
        <v>117</v>
      </c>
    </row>
    <row r="199" spans="1:14" x14ac:dyDescent="0.25">
      <c r="A199">
        <v>197</v>
      </c>
      <c r="B199">
        <v>39811225</v>
      </c>
      <c r="C199">
        <v>200200596</v>
      </c>
      <c r="D199">
        <v>201147315</v>
      </c>
      <c r="E199" t="s">
        <v>361</v>
      </c>
      <c r="F199" t="s">
        <v>362</v>
      </c>
      <c r="G199" t="s">
        <v>221</v>
      </c>
      <c r="H199">
        <v>40</v>
      </c>
      <c r="I199">
        <v>40</v>
      </c>
      <c r="J199">
        <v>0</v>
      </c>
      <c r="K199">
        <v>890.83001708984375</v>
      </c>
      <c r="L199">
        <v>859</v>
      </c>
      <c r="M199">
        <v>6500</v>
      </c>
      <c r="N199">
        <v>14</v>
      </c>
    </row>
    <row r="200" spans="1:14" x14ac:dyDescent="0.25">
      <c r="A200">
        <v>198</v>
      </c>
      <c r="B200">
        <v>39811225</v>
      </c>
      <c r="C200">
        <v>201147315</v>
      </c>
      <c r="D200">
        <v>200200596</v>
      </c>
      <c r="E200" t="s">
        <v>361</v>
      </c>
      <c r="F200" t="s">
        <v>362</v>
      </c>
      <c r="G200" t="s">
        <v>221</v>
      </c>
      <c r="H200">
        <v>40</v>
      </c>
      <c r="I200">
        <v>40</v>
      </c>
      <c r="J200">
        <v>0</v>
      </c>
      <c r="K200">
        <v>825.530029296875</v>
      </c>
      <c r="L200">
        <v>806</v>
      </c>
      <c r="M200">
        <v>6500</v>
      </c>
      <c r="N200">
        <v>13</v>
      </c>
    </row>
    <row r="201" spans="1:14" x14ac:dyDescent="0.25">
      <c r="A201">
        <v>199</v>
      </c>
      <c r="B201">
        <v>39811226</v>
      </c>
      <c r="C201">
        <v>200027647</v>
      </c>
      <c r="D201">
        <v>201147315</v>
      </c>
      <c r="E201" t="s">
        <v>361</v>
      </c>
      <c r="F201" t="s">
        <v>363</v>
      </c>
      <c r="G201" t="s">
        <v>221</v>
      </c>
      <c r="H201">
        <v>121</v>
      </c>
      <c r="I201">
        <v>122</v>
      </c>
      <c r="J201">
        <v>1</v>
      </c>
      <c r="K201">
        <v>1563.489990234375</v>
      </c>
      <c r="L201">
        <v>1404</v>
      </c>
      <c r="M201">
        <v>6500</v>
      </c>
      <c r="N201">
        <v>24</v>
      </c>
    </row>
    <row r="202" spans="1:14" x14ac:dyDescent="0.25">
      <c r="A202">
        <v>200</v>
      </c>
      <c r="B202">
        <v>39811226</v>
      </c>
      <c r="C202">
        <v>201147315</v>
      </c>
      <c r="D202">
        <v>200027647</v>
      </c>
      <c r="E202" t="s">
        <v>361</v>
      </c>
      <c r="F202" t="s">
        <v>363</v>
      </c>
      <c r="G202" t="s">
        <v>221</v>
      </c>
      <c r="H202">
        <v>121</v>
      </c>
      <c r="I202">
        <v>122</v>
      </c>
      <c r="J202">
        <v>1</v>
      </c>
      <c r="K202">
        <v>1668.7099609375</v>
      </c>
      <c r="L202">
        <v>1382</v>
      </c>
      <c r="M202">
        <v>6500</v>
      </c>
      <c r="N202">
        <v>26</v>
      </c>
    </row>
    <row r="203" spans="1:14" x14ac:dyDescent="0.25">
      <c r="A203">
        <v>201</v>
      </c>
      <c r="B203">
        <v>39811227</v>
      </c>
      <c r="C203">
        <v>201147314</v>
      </c>
      <c r="D203">
        <v>201147315</v>
      </c>
      <c r="E203" t="s">
        <v>213</v>
      </c>
      <c r="F203" t="s">
        <v>364</v>
      </c>
      <c r="G203" t="s">
        <v>215</v>
      </c>
      <c r="H203">
        <v>125</v>
      </c>
      <c r="I203">
        <v>126</v>
      </c>
      <c r="J203">
        <v>1</v>
      </c>
      <c r="K203">
        <v>1116.640014648438</v>
      </c>
      <c r="L203">
        <v>836</v>
      </c>
      <c r="M203">
        <v>6500</v>
      </c>
      <c r="N203">
        <v>17</v>
      </c>
    </row>
    <row r="204" spans="1:14" x14ac:dyDescent="0.25">
      <c r="A204">
        <v>202</v>
      </c>
      <c r="B204">
        <v>39811227</v>
      </c>
      <c r="C204">
        <v>201147315</v>
      </c>
      <c r="D204">
        <v>201147314</v>
      </c>
      <c r="E204" t="s">
        <v>213</v>
      </c>
      <c r="F204" t="s">
        <v>364</v>
      </c>
      <c r="G204" t="s">
        <v>215</v>
      </c>
      <c r="H204">
        <v>125</v>
      </c>
      <c r="I204">
        <v>126</v>
      </c>
      <c r="J204">
        <v>1</v>
      </c>
      <c r="K204">
        <v>1076.72998046875</v>
      </c>
      <c r="L204">
        <v>912</v>
      </c>
      <c r="M204">
        <v>6500</v>
      </c>
      <c r="N204">
        <v>17</v>
      </c>
    </row>
    <row r="205" spans="1:14" x14ac:dyDescent="0.25">
      <c r="A205">
        <v>203</v>
      </c>
      <c r="B205">
        <v>39811228</v>
      </c>
      <c r="C205">
        <v>200212505</v>
      </c>
      <c r="D205">
        <v>201147316</v>
      </c>
      <c r="E205" t="s">
        <v>213</v>
      </c>
      <c r="F205" t="s">
        <v>278</v>
      </c>
      <c r="G205" t="s">
        <v>215</v>
      </c>
      <c r="H205">
        <v>21</v>
      </c>
      <c r="I205">
        <v>21</v>
      </c>
      <c r="J205">
        <v>0</v>
      </c>
      <c r="K205">
        <v>628.25</v>
      </c>
      <c r="L205">
        <v>521</v>
      </c>
      <c r="M205">
        <v>6500</v>
      </c>
      <c r="N205">
        <v>10</v>
      </c>
    </row>
    <row r="206" spans="1:14" x14ac:dyDescent="0.25">
      <c r="A206">
        <v>204</v>
      </c>
      <c r="B206">
        <v>39811228</v>
      </c>
      <c r="C206">
        <v>201147316</v>
      </c>
      <c r="D206">
        <v>200212505</v>
      </c>
      <c r="E206" t="s">
        <v>213</v>
      </c>
      <c r="F206" t="s">
        <v>278</v>
      </c>
      <c r="G206" t="s">
        <v>215</v>
      </c>
      <c r="H206">
        <v>21</v>
      </c>
      <c r="I206">
        <v>21</v>
      </c>
      <c r="J206">
        <v>0</v>
      </c>
      <c r="K206">
        <v>665.58001708984375</v>
      </c>
      <c r="L206">
        <v>554</v>
      </c>
      <c r="M206">
        <v>6500</v>
      </c>
      <c r="N206">
        <v>10</v>
      </c>
    </row>
    <row r="207" spans="1:14" x14ac:dyDescent="0.25">
      <c r="A207">
        <v>205</v>
      </c>
      <c r="B207">
        <v>39811230</v>
      </c>
      <c r="C207">
        <v>200193255</v>
      </c>
      <c r="D207">
        <v>201147317</v>
      </c>
      <c r="E207" t="s">
        <v>213</v>
      </c>
      <c r="F207" t="s">
        <v>365</v>
      </c>
      <c r="G207" t="s">
        <v>215</v>
      </c>
      <c r="H207">
        <v>20</v>
      </c>
      <c r="I207">
        <v>20</v>
      </c>
      <c r="J207">
        <v>0</v>
      </c>
      <c r="K207">
        <v>346.41000366210938</v>
      </c>
      <c r="L207">
        <v>341</v>
      </c>
      <c r="M207">
        <v>6500</v>
      </c>
      <c r="N207">
        <v>5</v>
      </c>
    </row>
    <row r="208" spans="1:14" x14ac:dyDescent="0.25">
      <c r="A208">
        <v>206</v>
      </c>
      <c r="B208">
        <v>39811230</v>
      </c>
      <c r="C208">
        <v>201147317</v>
      </c>
      <c r="D208">
        <v>200193255</v>
      </c>
      <c r="E208" t="s">
        <v>213</v>
      </c>
      <c r="F208" t="s">
        <v>365</v>
      </c>
      <c r="G208" t="s">
        <v>215</v>
      </c>
      <c r="H208">
        <v>20</v>
      </c>
      <c r="I208">
        <v>20</v>
      </c>
      <c r="J208">
        <v>0</v>
      </c>
      <c r="K208">
        <v>334.58999633789063</v>
      </c>
      <c r="L208">
        <v>329</v>
      </c>
      <c r="M208">
        <v>6500</v>
      </c>
      <c r="N208">
        <v>5</v>
      </c>
    </row>
    <row r="209" spans="1:14" x14ac:dyDescent="0.25">
      <c r="A209">
        <v>207</v>
      </c>
      <c r="B209">
        <v>39811231</v>
      </c>
      <c r="C209">
        <v>200205402</v>
      </c>
      <c r="D209">
        <v>201147318</v>
      </c>
      <c r="E209" t="s">
        <v>213</v>
      </c>
      <c r="F209" t="s">
        <v>366</v>
      </c>
      <c r="G209" t="s">
        <v>215</v>
      </c>
      <c r="H209">
        <v>4</v>
      </c>
      <c r="I209">
        <v>8</v>
      </c>
      <c r="J209">
        <v>3</v>
      </c>
      <c r="K209">
        <v>7539.02978515625</v>
      </c>
      <c r="L209">
        <v>6262</v>
      </c>
      <c r="M209">
        <v>6500</v>
      </c>
      <c r="N209">
        <v>116</v>
      </c>
    </row>
    <row r="210" spans="1:14" x14ac:dyDescent="0.25">
      <c r="A210">
        <v>208</v>
      </c>
      <c r="B210">
        <v>39811231</v>
      </c>
      <c r="C210">
        <v>201147318</v>
      </c>
      <c r="D210">
        <v>200205402</v>
      </c>
      <c r="E210" t="s">
        <v>213</v>
      </c>
      <c r="F210" t="s">
        <v>366</v>
      </c>
      <c r="G210" t="s">
        <v>215</v>
      </c>
      <c r="H210">
        <v>4</v>
      </c>
      <c r="I210">
        <v>10</v>
      </c>
      <c r="J210">
        <v>5</v>
      </c>
      <c r="K210">
        <v>7986.93994140625</v>
      </c>
      <c r="L210">
        <v>6649</v>
      </c>
      <c r="M210">
        <v>6500</v>
      </c>
      <c r="N210">
        <v>123</v>
      </c>
    </row>
    <row r="211" spans="1:14" x14ac:dyDescent="0.25">
      <c r="A211">
        <v>209</v>
      </c>
      <c r="B211">
        <v>39811232</v>
      </c>
      <c r="C211">
        <v>200211437</v>
      </c>
      <c r="D211">
        <v>201147319</v>
      </c>
      <c r="E211" t="s">
        <v>213</v>
      </c>
      <c r="F211" t="s">
        <v>367</v>
      </c>
      <c r="G211" t="s">
        <v>215</v>
      </c>
      <c r="H211">
        <v>3</v>
      </c>
      <c r="I211">
        <v>3</v>
      </c>
      <c r="J211">
        <v>0</v>
      </c>
      <c r="K211">
        <v>346.41000366210938</v>
      </c>
      <c r="L211">
        <v>341</v>
      </c>
      <c r="M211">
        <v>6500</v>
      </c>
      <c r="N211">
        <v>5</v>
      </c>
    </row>
    <row r="212" spans="1:14" x14ac:dyDescent="0.25">
      <c r="A212">
        <v>210</v>
      </c>
      <c r="B212">
        <v>39811232</v>
      </c>
      <c r="C212">
        <v>201147319</v>
      </c>
      <c r="D212">
        <v>200211437</v>
      </c>
      <c r="E212" t="s">
        <v>213</v>
      </c>
      <c r="F212" t="s">
        <v>367</v>
      </c>
      <c r="G212" t="s">
        <v>215</v>
      </c>
      <c r="H212">
        <v>3</v>
      </c>
      <c r="I212">
        <v>3</v>
      </c>
      <c r="J212">
        <v>0</v>
      </c>
      <c r="K212">
        <v>334.58999633789063</v>
      </c>
      <c r="L212">
        <v>329</v>
      </c>
      <c r="M212">
        <v>6500</v>
      </c>
      <c r="N212">
        <v>5</v>
      </c>
    </row>
    <row r="213" spans="1:14" x14ac:dyDescent="0.25">
      <c r="A213">
        <v>211</v>
      </c>
      <c r="B213">
        <v>39811233</v>
      </c>
      <c r="C213">
        <v>201147313</v>
      </c>
      <c r="D213">
        <v>201147321</v>
      </c>
      <c r="E213" t="s">
        <v>240</v>
      </c>
      <c r="F213" t="s">
        <v>367</v>
      </c>
      <c r="G213" t="s">
        <v>232</v>
      </c>
      <c r="H213">
        <v>2</v>
      </c>
      <c r="I213">
        <v>2</v>
      </c>
      <c r="J213">
        <v>0</v>
      </c>
      <c r="K213">
        <v>15385.5498046875</v>
      </c>
      <c r="L213">
        <v>14709</v>
      </c>
      <c r="M213">
        <v>19900</v>
      </c>
      <c r="N213">
        <v>77</v>
      </c>
    </row>
    <row r="214" spans="1:14" x14ac:dyDescent="0.25">
      <c r="A214">
        <v>212</v>
      </c>
      <c r="B214">
        <v>39811234</v>
      </c>
      <c r="C214">
        <v>201147321</v>
      </c>
      <c r="D214">
        <v>200202827</v>
      </c>
      <c r="E214" t="s">
        <v>240</v>
      </c>
      <c r="F214" t="s">
        <v>368</v>
      </c>
      <c r="G214" t="s">
        <v>232</v>
      </c>
      <c r="H214">
        <v>26</v>
      </c>
      <c r="I214">
        <v>34</v>
      </c>
      <c r="J214">
        <v>7</v>
      </c>
      <c r="K214">
        <v>22022.23046875</v>
      </c>
      <c r="L214">
        <v>20631</v>
      </c>
      <c r="M214">
        <v>19900</v>
      </c>
      <c r="N214">
        <v>111</v>
      </c>
    </row>
    <row r="215" spans="1:14" x14ac:dyDescent="0.25">
      <c r="A215">
        <v>213</v>
      </c>
      <c r="B215">
        <v>39811235</v>
      </c>
      <c r="C215">
        <v>200198085</v>
      </c>
      <c r="D215">
        <v>201147322</v>
      </c>
      <c r="E215" t="s">
        <v>247</v>
      </c>
      <c r="F215" t="s">
        <v>369</v>
      </c>
      <c r="G215" t="s">
        <v>235</v>
      </c>
      <c r="H215">
        <v>82</v>
      </c>
      <c r="I215">
        <v>126</v>
      </c>
      <c r="J215">
        <v>44</v>
      </c>
      <c r="K215">
        <v>10442.83984375</v>
      </c>
      <c r="L215">
        <v>10046</v>
      </c>
      <c r="M215">
        <v>7800</v>
      </c>
      <c r="N215">
        <v>134</v>
      </c>
    </row>
    <row r="216" spans="1:14" x14ac:dyDescent="0.25">
      <c r="A216">
        <v>214</v>
      </c>
      <c r="B216">
        <v>39811235</v>
      </c>
      <c r="C216">
        <v>201147322</v>
      </c>
      <c r="D216">
        <v>200198085</v>
      </c>
      <c r="E216" t="s">
        <v>247</v>
      </c>
      <c r="F216" t="s">
        <v>369</v>
      </c>
      <c r="G216" t="s">
        <v>235</v>
      </c>
      <c r="H216">
        <v>82</v>
      </c>
      <c r="I216">
        <v>100</v>
      </c>
      <c r="J216">
        <v>18</v>
      </c>
      <c r="K216">
        <v>9188.9296875</v>
      </c>
      <c r="L216">
        <v>8905</v>
      </c>
      <c r="M216">
        <v>7800</v>
      </c>
      <c r="N216">
        <v>118</v>
      </c>
    </row>
    <row r="217" spans="1:14" x14ac:dyDescent="0.25">
      <c r="A217">
        <v>215</v>
      </c>
      <c r="B217">
        <v>39811236</v>
      </c>
      <c r="C217">
        <v>200206100</v>
      </c>
      <c r="D217">
        <v>201147322</v>
      </c>
      <c r="E217" t="s">
        <v>247</v>
      </c>
      <c r="F217" t="s">
        <v>370</v>
      </c>
      <c r="G217" t="s">
        <v>235</v>
      </c>
      <c r="H217">
        <v>16</v>
      </c>
      <c r="I217">
        <v>20</v>
      </c>
      <c r="J217">
        <v>4</v>
      </c>
      <c r="K217">
        <v>9346.5703125</v>
      </c>
      <c r="L217">
        <v>9128</v>
      </c>
      <c r="M217">
        <v>7800</v>
      </c>
      <c r="N217">
        <v>120</v>
      </c>
    </row>
    <row r="218" spans="1:14" x14ac:dyDescent="0.25">
      <c r="A218">
        <v>216</v>
      </c>
      <c r="B218">
        <v>39811236</v>
      </c>
      <c r="C218">
        <v>201147322</v>
      </c>
      <c r="D218">
        <v>200206100</v>
      </c>
      <c r="E218" t="s">
        <v>247</v>
      </c>
      <c r="F218" t="s">
        <v>370</v>
      </c>
      <c r="G218" t="s">
        <v>235</v>
      </c>
      <c r="H218">
        <v>16</v>
      </c>
      <c r="I218">
        <v>19</v>
      </c>
      <c r="J218">
        <v>3</v>
      </c>
      <c r="K218">
        <v>9024.4599609375</v>
      </c>
      <c r="L218">
        <v>8782</v>
      </c>
      <c r="M218">
        <v>7800</v>
      </c>
      <c r="N218">
        <v>116</v>
      </c>
    </row>
    <row r="219" spans="1:14" x14ac:dyDescent="0.25">
      <c r="A219">
        <v>217</v>
      </c>
      <c r="B219">
        <v>39811238</v>
      </c>
      <c r="C219">
        <v>201147320</v>
      </c>
      <c r="D219">
        <v>201147322</v>
      </c>
      <c r="E219" t="s">
        <v>213</v>
      </c>
      <c r="F219" t="s">
        <v>371</v>
      </c>
      <c r="G219" t="s">
        <v>215</v>
      </c>
      <c r="H219">
        <v>9</v>
      </c>
      <c r="I219">
        <v>10</v>
      </c>
      <c r="J219">
        <v>0</v>
      </c>
      <c r="K219">
        <v>2342.159912109375</v>
      </c>
      <c r="L219">
        <v>2304</v>
      </c>
      <c r="M219">
        <v>6500</v>
      </c>
      <c r="N219">
        <v>36</v>
      </c>
    </row>
    <row r="220" spans="1:14" x14ac:dyDescent="0.25">
      <c r="A220">
        <v>218</v>
      </c>
      <c r="B220">
        <v>39811238</v>
      </c>
      <c r="C220">
        <v>201147322</v>
      </c>
      <c r="D220">
        <v>201147320</v>
      </c>
      <c r="E220" t="s">
        <v>213</v>
      </c>
      <c r="F220" t="s">
        <v>371</v>
      </c>
      <c r="G220" t="s">
        <v>215</v>
      </c>
      <c r="H220">
        <v>9</v>
      </c>
      <c r="I220">
        <v>10</v>
      </c>
      <c r="J220">
        <v>0</v>
      </c>
      <c r="K220">
        <v>2424.85009765625</v>
      </c>
      <c r="L220">
        <v>2389</v>
      </c>
      <c r="M220">
        <v>6500</v>
      </c>
      <c r="N220">
        <v>37</v>
      </c>
    </row>
    <row r="221" spans="1:14" x14ac:dyDescent="0.25">
      <c r="A221">
        <v>219</v>
      </c>
      <c r="B221">
        <v>39811240</v>
      </c>
      <c r="C221">
        <v>201147322</v>
      </c>
      <c r="D221">
        <v>201147323</v>
      </c>
      <c r="E221" t="s">
        <v>213</v>
      </c>
      <c r="F221" t="s">
        <v>331</v>
      </c>
      <c r="G221" t="s">
        <v>215</v>
      </c>
      <c r="H221">
        <v>89</v>
      </c>
      <c r="I221">
        <v>94</v>
      </c>
      <c r="J221">
        <v>5</v>
      </c>
      <c r="K221">
        <v>3745.929931640625</v>
      </c>
      <c r="L221">
        <v>3492</v>
      </c>
      <c r="M221">
        <v>6500</v>
      </c>
      <c r="N221">
        <v>58</v>
      </c>
    </row>
    <row r="222" spans="1:14" x14ac:dyDescent="0.25">
      <c r="A222">
        <v>220</v>
      </c>
      <c r="B222">
        <v>39811240</v>
      </c>
      <c r="C222">
        <v>201147323</v>
      </c>
      <c r="D222">
        <v>201147322</v>
      </c>
      <c r="E222" t="s">
        <v>213</v>
      </c>
      <c r="F222" t="s">
        <v>331</v>
      </c>
      <c r="G222" t="s">
        <v>215</v>
      </c>
      <c r="H222">
        <v>89</v>
      </c>
      <c r="I222">
        <v>91</v>
      </c>
      <c r="J222">
        <v>2</v>
      </c>
      <c r="K222">
        <v>2252.60009765625</v>
      </c>
      <c r="L222">
        <v>2090</v>
      </c>
      <c r="M222">
        <v>6500</v>
      </c>
      <c r="N222">
        <v>35</v>
      </c>
    </row>
    <row r="223" spans="1:14" x14ac:dyDescent="0.25">
      <c r="A223">
        <v>221</v>
      </c>
      <c r="B223">
        <v>39811241</v>
      </c>
      <c r="C223">
        <v>200200624</v>
      </c>
      <c r="D223">
        <v>201147325</v>
      </c>
      <c r="E223" t="s">
        <v>240</v>
      </c>
      <c r="F223" t="s">
        <v>372</v>
      </c>
      <c r="G223" t="s">
        <v>232</v>
      </c>
      <c r="H223">
        <v>25</v>
      </c>
      <c r="I223">
        <v>29</v>
      </c>
      <c r="J223">
        <v>3</v>
      </c>
      <c r="K223">
        <v>18006.779296875</v>
      </c>
      <c r="L223">
        <v>16739</v>
      </c>
      <c r="M223">
        <v>19900</v>
      </c>
      <c r="N223">
        <v>90</v>
      </c>
    </row>
    <row r="224" spans="1:14" x14ac:dyDescent="0.25">
      <c r="A224">
        <v>222</v>
      </c>
      <c r="B224">
        <v>39811242</v>
      </c>
      <c r="C224">
        <v>201147325</v>
      </c>
      <c r="D224">
        <v>201147312</v>
      </c>
      <c r="E224" t="s">
        <v>240</v>
      </c>
      <c r="F224" t="s">
        <v>366</v>
      </c>
      <c r="G224" t="s">
        <v>232</v>
      </c>
      <c r="H224">
        <v>3</v>
      </c>
      <c r="I224">
        <v>3</v>
      </c>
      <c r="J224">
        <v>0</v>
      </c>
      <c r="K224">
        <v>13236.6796875</v>
      </c>
      <c r="L224">
        <v>12542</v>
      </c>
      <c r="M224">
        <v>19900</v>
      </c>
      <c r="N224">
        <v>67</v>
      </c>
    </row>
    <row r="225" spans="1:14" x14ac:dyDescent="0.25">
      <c r="A225">
        <v>223</v>
      </c>
      <c r="B225">
        <v>39811243</v>
      </c>
      <c r="C225">
        <v>201147324</v>
      </c>
      <c r="D225">
        <v>201147325</v>
      </c>
      <c r="E225" t="s">
        <v>213</v>
      </c>
      <c r="F225" t="s">
        <v>373</v>
      </c>
      <c r="G225" t="s">
        <v>215</v>
      </c>
      <c r="H225">
        <v>17</v>
      </c>
      <c r="I225">
        <v>22</v>
      </c>
      <c r="J225">
        <v>5</v>
      </c>
      <c r="K225">
        <v>6655.77978515625</v>
      </c>
      <c r="L225">
        <v>5541</v>
      </c>
      <c r="M225">
        <v>6500</v>
      </c>
      <c r="N225">
        <v>102</v>
      </c>
    </row>
    <row r="226" spans="1:14" x14ac:dyDescent="0.25">
      <c r="A226">
        <v>224</v>
      </c>
      <c r="B226">
        <v>39811243</v>
      </c>
      <c r="C226">
        <v>201147325</v>
      </c>
      <c r="D226">
        <v>201147324</v>
      </c>
      <c r="E226" t="s">
        <v>213</v>
      </c>
      <c r="F226" t="s">
        <v>373</v>
      </c>
      <c r="G226" t="s">
        <v>215</v>
      </c>
      <c r="H226">
        <v>17</v>
      </c>
      <c r="I226">
        <v>20</v>
      </c>
      <c r="J226">
        <v>3</v>
      </c>
      <c r="K226">
        <v>6282.52978515625</v>
      </c>
      <c r="L226">
        <v>5218</v>
      </c>
      <c r="M226">
        <v>6500</v>
      </c>
      <c r="N226">
        <v>97</v>
      </c>
    </row>
    <row r="227" spans="1:14" x14ac:dyDescent="0.25">
      <c r="A227">
        <v>225</v>
      </c>
      <c r="B227">
        <v>39811244</v>
      </c>
      <c r="C227">
        <v>201147321</v>
      </c>
      <c r="D227">
        <v>201147325</v>
      </c>
      <c r="E227" t="s">
        <v>213</v>
      </c>
      <c r="F227" t="s">
        <v>374</v>
      </c>
      <c r="G227" t="s">
        <v>215</v>
      </c>
      <c r="H227">
        <v>2</v>
      </c>
      <c r="I227">
        <v>2</v>
      </c>
      <c r="J227">
        <v>0</v>
      </c>
      <c r="K227">
        <v>4044.080078125</v>
      </c>
      <c r="L227">
        <v>3539</v>
      </c>
      <c r="M227">
        <v>6500</v>
      </c>
      <c r="N227">
        <v>62</v>
      </c>
    </row>
    <row r="228" spans="1:14" x14ac:dyDescent="0.25">
      <c r="A228">
        <v>226</v>
      </c>
      <c r="B228">
        <v>39811244</v>
      </c>
      <c r="C228">
        <v>201147325</v>
      </c>
      <c r="D228">
        <v>201147321</v>
      </c>
      <c r="E228" t="s">
        <v>213</v>
      </c>
      <c r="F228" t="s">
        <v>374</v>
      </c>
      <c r="G228" t="s">
        <v>215</v>
      </c>
      <c r="H228">
        <v>2</v>
      </c>
      <c r="I228">
        <v>7</v>
      </c>
      <c r="J228">
        <v>5</v>
      </c>
      <c r="K228">
        <v>9187.4404296875</v>
      </c>
      <c r="L228">
        <v>8059</v>
      </c>
      <c r="M228">
        <v>6500</v>
      </c>
      <c r="N228">
        <v>141</v>
      </c>
    </row>
    <row r="229" spans="1:14" x14ac:dyDescent="0.25">
      <c r="A229">
        <v>227</v>
      </c>
      <c r="B229">
        <v>39811245</v>
      </c>
      <c r="C229">
        <v>201147321</v>
      </c>
      <c r="D229">
        <v>201147323</v>
      </c>
      <c r="E229" t="s">
        <v>213</v>
      </c>
      <c r="F229" t="s">
        <v>249</v>
      </c>
      <c r="G229" t="s">
        <v>215</v>
      </c>
      <c r="H229">
        <v>4</v>
      </c>
      <c r="I229">
        <v>4</v>
      </c>
      <c r="J229">
        <v>0</v>
      </c>
      <c r="K229">
        <v>2252.60009765625</v>
      </c>
      <c r="L229">
        <v>2090</v>
      </c>
      <c r="M229">
        <v>6500</v>
      </c>
      <c r="N229">
        <v>35</v>
      </c>
    </row>
    <row r="230" spans="1:14" x14ac:dyDescent="0.25">
      <c r="A230">
        <v>228</v>
      </c>
      <c r="B230">
        <v>39811245</v>
      </c>
      <c r="C230">
        <v>201147323</v>
      </c>
      <c r="D230">
        <v>201147321</v>
      </c>
      <c r="E230" t="s">
        <v>213</v>
      </c>
      <c r="F230" t="s">
        <v>249</v>
      </c>
      <c r="G230" t="s">
        <v>215</v>
      </c>
      <c r="H230">
        <v>4</v>
      </c>
      <c r="I230">
        <v>4</v>
      </c>
      <c r="J230">
        <v>0</v>
      </c>
      <c r="K230">
        <v>3745.929931640625</v>
      </c>
      <c r="L230">
        <v>3492</v>
      </c>
      <c r="M230">
        <v>6500</v>
      </c>
      <c r="N230">
        <v>58</v>
      </c>
    </row>
    <row r="231" spans="1:14" x14ac:dyDescent="0.25">
      <c r="A231">
        <v>229</v>
      </c>
      <c r="B231">
        <v>39811246</v>
      </c>
      <c r="C231">
        <v>200215436</v>
      </c>
      <c r="D231">
        <v>201147326</v>
      </c>
      <c r="E231" t="s">
        <v>219</v>
      </c>
      <c r="F231" t="s">
        <v>375</v>
      </c>
      <c r="G231" t="s">
        <v>235</v>
      </c>
      <c r="H231">
        <v>12</v>
      </c>
      <c r="I231">
        <v>85</v>
      </c>
      <c r="J231">
        <v>73</v>
      </c>
      <c r="K231">
        <v>12209.8603515625</v>
      </c>
      <c r="L231">
        <v>9988</v>
      </c>
      <c r="M231">
        <v>7100</v>
      </c>
      <c r="N231">
        <v>172</v>
      </c>
    </row>
    <row r="232" spans="1:14" x14ac:dyDescent="0.25">
      <c r="A232">
        <v>230</v>
      </c>
      <c r="B232">
        <v>39811246</v>
      </c>
      <c r="C232">
        <v>201147326</v>
      </c>
      <c r="D232">
        <v>200215436</v>
      </c>
      <c r="E232" t="s">
        <v>219</v>
      </c>
      <c r="F232" t="s">
        <v>375</v>
      </c>
      <c r="G232" t="s">
        <v>235</v>
      </c>
      <c r="H232">
        <v>12</v>
      </c>
      <c r="I232">
        <v>60</v>
      </c>
      <c r="J232">
        <v>48</v>
      </c>
      <c r="K232">
        <v>11564.4599609375</v>
      </c>
      <c r="L232">
        <v>9607</v>
      </c>
      <c r="M232">
        <v>7100</v>
      </c>
      <c r="N232">
        <v>163</v>
      </c>
    </row>
    <row r="233" spans="1:14" x14ac:dyDescent="0.25">
      <c r="A233">
        <v>231</v>
      </c>
      <c r="B233">
        <v>39811247</v>
      </c>
      <c r="C233">
        <v>200068383</v>
      </c>
      <c r="D233">
        <v>201147326</v>
      </c>
      <c r="E233" t="s">
        <v>219</v>
      </c>
      <c r="F233" t="s">
        <v>376</v>
      </c>
      <c r="G233" t="s">
        <v>235</v>
      </c>
      <c r="H233">
        <v>15</v>
      </c>
      <c r="I233">
        <v>145</v>
      </c>
      <c r="J233">
        <v>130</v>
      </c>
      <c r="K233">
        <v>12708.66015625</v>
      </c>
      <c r="L233">
        <v>10441</v>
      </c>
      <c r="M233">
        <v>7100</v>
      </c>
      <c r="N233">
        <v>179</v>
      </c>
    </row>
    <row r="234" spans="1:14" x14ac:dyDescent="0.25">
      <c r="A234">
        <v>232</v>
      </c>
      <c r="B234">
        <v>39811247</v>
      </c>
      <c r="C234">
        <v>201147326</v>
      </c>
      <c r="D234">
        <v>200068383</v>
      </c>
      <c r="E234" t="s">
        <v>219</v>
      </c>
      <c r="F234" t="s">
        <v>376</v>
      </c>
      <c r="G234" t="s">
        <v>235</v>
      </c>
      <c r="H234">
        <v>15</v>
      </c>
      <c r="I234">
        <v>226</v>
      </c>
      <c r="J234">
        <v>210</v>
      </c>
      <c r="K234">
        <v>13503.3701171875</v>
      </c>
      <c r="L234">
        <v>10951</v>
      </c>
      <c r="M234">
        <v>7100</v>
      </c>
      <c r="N234">
        <v>190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27F79-34F7-4171-A7A4-9C7F8A2A3034}">
  <dimension ref="A1:N225"/>
  <sheetViews>
    <sheetView workbookViewId="0">
      <selection activeCell="T17" sqref="T17"/>
    </sheetView>
  </sheetViews>
  <sheetFormatPr defaultRowHeight="15" x14ac:dyDescent="0.25"/>
  <cols>
    <col min="1" max="1" width="4" bestFit="1" customWidth="1"/>
    <col min="2" max="2" width="9" bestFit="1" customWidth="1"/>
    <col min="3" max="3" width="15.85546875" bestFit="1" customWidth="1"/>
    <col min="4" max="4" width="12.5703125" bestFit="1" customWidth="1"/>
    <col min="5" max="5" width="18" bestFit="1" customWidth="1"/>
    <col min="6" max="6" width="8.7109375" bestFit="1" customWidth="1"/>
    <col min="7" max="7" width="7.140625" bestFit="1" customWidth="1"/>
    <col min="8" max="8" width="12.7109375" bestFit="1" customWidth="1"/>
    <col min="9" max="9" width="13.28515625" bestFit="1" customWidth="1"/>
    <col min="10" max="10" width="14.42578125" bestFit="1" customWidth="1"/>
    <col min="11" max="11" width="13.42578125" bestFit="1" customWidth="1"/>
    <col min="12" max="12" width="14.7109375" bestFit="1" customWidth="1"/>
    <col min="13" max="14" width="12.5703125" bestFit="1" customWidth="1"/>
  </cols>
  <sheetData>
    <row r="1" spans="1:14" ht="16.5" thickBot="1" x14ac:dyDescent="0.3">
      <c r="A1" s="42" t="s">
        <v>199</v>
      </c>
      <c r="B1" s="42" t="s">
        <v>200</v>
      </c>
      <c r="C1" s="42" t="s">
        <v>201</v>
      </c>
      <c r="D1" s="42" t="s">
        <v>202</v>
      </c>
      <c r="E1" s="42" t="s">
        <v>203</v>
      </c>
      <c r="F1" s="42" t="s">
        <v>204</v>
      </c>
      <c r="G1" s="42" t="s">
        <v>205</v>
      </c>
      <c r="H1" s="42" t="s">
        <v>206</v>
      </c>
      <c r="I1" s="42" t="s">
        <v>207</v>
      </c>
      <c r="J1" s="42" t="s">
        <v>377</v>
      </c>
      <c r="K1" s="42" t="s">
        <v>209</v>
      </c>
      <c r="L1" s="42" t="s">
        <v>210</v>
      </c>
      <c r="M1" s="42" t="s">
        <v>211</v>
      </c>
      <c r="N1" s="42" t="s">
        <v>212</v>
      </c>
    </row>
    <row r="2" spans="1:14" x14ac:dyDescent="0.25">
      <c r="A2">
        <v>0</v>
      </c>
      <c r="B2">
        <v>155559</v>
      </c>
      <c r="C2">
        <v>200031150</v>
      </c>
      <c r="D2">
        <v>200074067</v>
      </c>
      <c r="E2" t="s">
        <v>213</v>
      </c>
      <c r="F2" t="s">
        <v>214</v>
      </c>
      <c r="G2" t="s">
        <v>215</v>
      </c>
      <c r="H2">
        <v>20</v>
      </c>
      <c r="I2">
        <v>21</v>
      </c>
      <c r="J2">
        <v>1</v>
      </c>
      <c r="K2">
        <v>4403.580078125</v>
      </c>
      <c r="L2">
        <v>3175</v>
      </c>
      <c r="M2">
        <v>10000</v>
      </c>
      <c r="N2">
        <v>44</v>
      </c>
    </row>
    <row r="3" spans="1:14" x14ac:dyDescent="0.25">
      <c r="A3">
        <v>1</v>
      </c>
      <c r="B3">
        <v>155568</v>
      </c>
      <c r="C3">
        <v>200074067</v>
      </c>
      <c r="D3">
        <v>200071497</v>
      </c>
      <c r="E3" t="s">
        <v>213</v>
      </c>
      <c r="F3" t="s">
        <v>216</v>
      </c>
      <c r="G3" t="s">
        <v>215</v>
      </c>
      <c r="H3">
        <v>20</v>
      </c>
      <c r="I3">
        <v>20</v>
      </c>
      <c r="J3">
        <v>0</v>
      </c>
      <c r="K3">
        <v>1384.260009765625</v>
      </c>
      <c r="L3">
        <v>1222</v>
      </c>
      <c r="M3">
        <v>10000</v>
      </c>
      <c r="N3">
        <v>14</v>
      </c>
    </row>
    <row r="4" spans="1:14" x14ac:dyDescent="0.25">
      <c r="A4">
        <v>2</v>
      </c>
      <c r="B4">
        <v>155569</v>
      </c>
      <c r="C4">
        <v>200077051</v>
      </c>
      <c r="D4">
        <v>200019154</v>
      </c>
      <c r="E4" t="s">
        <v>213</v>
      </c>
      <c r="F4" t="s">
        <v>217</v>
      </c>
      <c r="G4" t="s">
        <v>215</v>
      </c>
      <c r="H4">
        <v>18</v>
      </c>
      <c r="I4">
        <v>39</v>
      </c>
      <c r="J4">
        <v>21</v>
      </c>
      <c r="K4">
        <v>8938.990234375</v>
      </c>
      <c r="L4">
        <v>7292</v>
      </c>
      <c r="M4">
        <v>10000</v>
      </c>
      <c r="N4">
        <v>89</v>
      </c>
    </row>
    <row r="5" spans="1:14" x14ac:dyDescent="0.25">
      <c r="A5">
        <v>3</v>
      </c>
      <c r="B5">
        <v>155570</v>
      </c>
      <c r="C5">
        <v>200082684</v>
      </c>
      <c r="D5">
        <v>200077051</v>
      </c>
      <c r="E5" t="s">
        <v>213</v>
      </c>
      <c r="F5" t="s">
        <v>218</v>
      </c>
      <c r="G5" t="s">
        <v>215</v>
      </c>
      <c r="H5">
        <v>23</v>
      </c>
      <c r="I5">
        <v>24</v>
      </c>
      <c r="J5">
        <v>0</v>
      </c>
      <c r="K5">
        <v>1488.81005859375</v>
      </c>
      <c r="L5">
        <v>1250</v>
      </c>
      <c r="M5">
        <v>10000</v>
      </c>
      <c r="N5">
        <v>15</v>
      </c>
    </row>
    <row r="6" spans="1:14" x14ac:dyDescent="0.25">
      <c r="A6">
        <v>4</v>
      </c>
      <c r="B6">
        <v>155580</v>
      </c>
      <c r="C6">
        <v>200077051</v>
      </c>
      <c r="D6">
        <v>200203651</v>
      </c>
      <c r="E6" t="s">
        <v>219</v>
      </c>
      <c r="F6" t="s">
        <v>220</v>
      </c>
      <c r="G6" t="s">
        <v>221</v>
      </c>
      <c r="H6">
        <v>8</v>
      </c>
      <c r="I6">
        <v>9</v>
      </c>
      <c r="J6">
        <v>0</v>
      </c>
      <c r="K6">
        <v>13367.4697265625</v>
      </c>
      <c r="L6">
        <v>10955</v>
      </c>
      <c r="M6">
        <v>16900</v>
      </c>
      <c r="N6">
        <v>79</v>
      </c>
    </row>
    <row r="7" spans="1:14" x14ac:dyDescent="0.25">
      <c r="A7">
        <v>5</v>
      </c>
      <c r="B7">
        <v>155580</v>
      </c>
      <c r="C7">
        <v>200203651</v>
      </c>
      <c r="D7">
        <v>200077051</v>
      </c>
      <c r="E7" t="s">
        <v>219</v>
      </c>
      <c r="F7" t="s">
        <v>220</v>
      </c>
      <c r="G7" t="s">
        <v>221</v>
      </c>
      <c r="H7">
        <v>8</v>
      </c>
      <c r="I7">
        <v>9</v>
      </c>
      <c r="J7">
        <v>1</v>
      </c>
      <c r="K7">
        <v>15846.490234375</v>
      </c>
      <c r="L7">
        <v>13373</v>
      </c>
      <c r="M7">
        <v>16900</v>
      </c>
      <c r="N7">
        <v>94</v>
      </c>
    </row>
    <row r="8" spans="1:14" x14ac:dyDescent="0.25">
      <c r="A8">
        <v>6</v>
      </c>
      <c r="B8">
        <v>156152</v>
      </c>
      <c r="C8">
        <v>200071497</v>
      </c>
      <c r="D8">
        <v>200028166</v>
      </c>
      <c r="E8" t="s">
        <v>222</v>
      </c>
      <c r="F8" t="s">
        <v>223</v>
      </c>
      <c r="G8" t="s">
        <v>224</v>
      </c>
      <c r="H8">
        <v>3</v>
      </c>
      <c r="I8">
        <v>3</v>
      </c>
      <c r="J8">
        <v>0</v>
      </c>
      <c r="K8">
        <v>22580.890625</v>
      </c>
      <c r="L8">
        <v>17223</v>
      </c>
      <c r="M8">
        <v>52500</v>
      </c>
      <c r="N8">
        <v>43</v>
      </c>
    </row>
    <row r="9" spans="1:14" x14ac:dyDescent="0.25">
      <c r="A9">
        <v>7</v>
      </c>
      <c r="B9">
        <v>156158</v>
      </c>
      <c r="C9">
        <v>200019154</v>
      </c>
      <c r="D9">
        <v>200018785</v>
      </c>
      <c r="E9" t="s">
        <v>225</v>
      </c>
      <c r="F9" t="s">
        <v>226</v>
      </c>
      <c r="G9" t="s">
        <v>224</v>
      </c>
      <c r="H9">
        <v>2</v>
      </c>
      <c r="I9">
        <v>2</v>
      </c>
      <c r="J9">
        <v>0</v>
      </c>
      <c r="K9">
        <v>28316.669921875</v>
      </c>
      <c r="L9">
        <v>21786</v>
      </c>
      <c r="M9">
        <v>52500</v>
      </c>
      <c r="N9">
        <v>54</v>
      </c>
    </row>
    <row r="10" spans="1:14" x14ac:dyDescent="0.25">
      <c r="A10">
        <v>8</v>
      </c>
      <c r="B10">
        <v>156163</v>
      </c>
      <c r="C10">
        <v>200077423</v>
      </c>
      <c r="D10">
        <v>200024773</v>
      </c>
      <c r="E10" t="s">
        <v>225</v>
      </c>
      <c r="F10" t="s">
        <v>227</v>
      </c>
      <c r="G10" t="s">
        <v>224</v>
      </c>
      <c r="H10">
        <v>2</v>
      </c>
      <c r="I10">
        <v>2</v>
      </c>
      <c r="J10">
        <v>0</v>
      </c>
      <c r="K10">
        <v>20866.490234375</v>
      </c>
      <c r="L10">
        <v>15744</v>
      </c>
      <c r="M10">
        <v>52500</v>
      </c>
      <c r="N10">
        <v>40</v>
      </c>
    </row>
    <row r="11" spans="1:14" x14ac:dyDescent="0.25">
      <c r="A11">
        <v>9</v>
      </c>
      <c r="B11">
        <v>158499</v>
      </c>
      <c r="C11">
        <v>200066924</v>
      </c>
      <c r="D11">
        <v>200028133</v>
      </c>
      <c r="E11" t="s">
        <v>228</v>
      </c>
      <c r="F11" t="s">
        <v>229</v>
      </c>
      <c r="G11" t="s">
        <v>224</v>
      </c>
      <c r="H11">
        <v>60</v>
      </c>
      <c r="I11">
        <v>62</v>
      </c>
      <c r="J11">
        <v>1</v>
      </c>
      <c r="K11">
        <v>11160.23046875</v>
      </c>
      <c r="L11">
        <v>8958</v>
      </c>
      <c r="M11">
        <v>35000</v>
      </c>
      <c r="N11">
        <v>32</v>
      </c>
    </row>
    <row r="12" spans="1:14" x14ac:dyDescent="0.25">
      <c r="A12">
        <v>10</v>
      </c>
      <c r="B12">
        <v>158656</v>
      </c>
      <c r="C12">
        <v>200020249</v>
      </c>
      <c r="D12">
        <v>200080357</v>
      </c>
      <c r="E12" t="s">
        <v>230</v>
      </c>
      <c r="F12" t="s">
        <v>231</v>
      </c>
      <c r="G12" t="s">
        <v>232</v>
      </c>
      <c r="H12">
        <v>4</v>
      </c>
      <c r="I12">
        <v>4</v>
      </c>
      <c r="J12">
        <v>0</v>
      </c>
      <c r="K12">
        <v>13485.349609375</v>
      </c>
      <c r="L12">
        <v>12638</v>
      </c>
      <c r="M12">
        <v>19900</v>
      </c>
      <c r="N12">
        <v>68</v>
      </c>
    </row>
    <row r="13" spans="1:14" x14ac:dyDescent="0.25">
      <c r="A13">
        <v>11</v>
      </c>
      <c r="B13">
        <v>158684</v>
      </c>
      <c r="C13">
        <v>200074726</v>
      </c>
      <c r="D13">
        <v>200030818</v>
      </c>
      <c r="E13" t="s">
        <v>222</v>
      </c>
      <c r="F13" t="s">
        <v>233</v>
      </c>
      <c r="G13" t="s">
        <v>224</v>
      </c>
      <c r="H13">
        <v>3</v>
      </c>
      <c r="I13">
        <v>4</v>
      </c>
      <c r="J13">
        <v>0</v>
      </c>
      <c r="K13">
        <v>30575.580078125</v>
      </c>
      <c r="L13">
        <v>23027</v>
      </c>
      <c r="M13">
        <v>52500</v>
      </c>
      <c r="N13">
        <v>58</v>
      </c>
    </row>
    <row r="14" spans="1:14" x14ac:dyDescent="0.25">
      <c r="A14">
        <v>12</v>
      </c>
      <c r="B14">
        <v>159349</v>
      </c>
      <c r="C14">
        <v>200193452</v>
      </c>
      <c r="D14">
        <v>200215436</v>
      </c>
      <c r="E14" t="s">
        <v>219</v>
      </c>
      <c r="F14" t="s">
        <v>234</v>
      </c>
      <c r="G14" t="s">
        <v>235</v>
      </c>
      <c r="H14">
        <v>21</v>
      </c>
      <c r="I14">
        <v>25</v>
      </c>
      <c r="J14">
        <v>4</v>
      </c>
      <c r="K14">
        <v>20369.75</v>
      </c>
      <c r="L14">
        <v>16806</v>
      </c>
      <c r="M14">
        <v>16900</v>
      </c>
      <c r="N14">
        <v>121</v>
      </c>
    </row>
    <row r="15" spans="1:14" x14ac:dyDescent="0.25">
      <c r="A15">
        <v>13</v>
      </c>
      <c r="B15">
        <v>159349</v>
      </c>
      <c r="C15">
        <v>200215436</v>
      </c>
      <c r="D15">
        <v>200193452</v>
      </c>
      <c r="E15" t="s">
        <v>219</v>
      </c>
      <c r="F15" t="s">
        <v>234</v>
      </c>
      <c r="G15" t="s">
        <v>235</v>
      </c>
      <c r="H15">
        <v>21</v>
      </c>
      <c r="I15">
        <v>23</v>
      </c>
      <c r="J15">
        <v>2</v>
      </c>
      <c r="K15">
        <v>16460.91015625</v>
      </c>
      <c r="L15">
        <v>13625</v>
      </c>
      <c r="M15">
        <v>16900</v>
      </c>
      <c r="N15">
        <v>97</v>
      </c>
    </row>
    <row r="16" spans="1:14" x14ac:dyDescent="0.25">
      <c r="A16">
        <v>14</v>
      </c>
      <c r="B16">
        <v>159370</v>
      </c>
      <c r="C16">
        <v>200072551</v>
      </c>
      <c r="D16">
        <v>200205241</v>
      </c>
      <c r="E16" t="s">
        <v>213</v>
      </c>
      <c r="F16" t="s">
        <v>236</v>
      </c>
      <c r="G16" t="s">
        <v>237</v>
      </c>
      <c r="H16">
        <v>3</v>
      </c>
      <c r="I16">
        <v>3</v>
      </c>
      <c r="J16">
        <v>0</v>
      </c>
      <c r="K16">
        <v>642.1099853515625</v>
      </c>
      <c r="L16">
        <v>570</v>
      </c>
      <c r="M16">
        <v>10000</v>
      </c>
      <c r="N16">
        <v>6</v>
      </c>
    </row>
    <row r="17" spans="1:14" x14ac:dyDescent="0.25">
      <c r="A17">
        <v>15</v>
      </c>
      <c r="B17">
        <v>159371</v>
      </c>
      <c r="C17">
        <v>200072551</v>
      </c>
      <c r="D17">
        <v>200020643</v>
      </c>
      <c r="E17" t="s">
        <v>213</v>
      </c>
      <c r="F17" t="s">
        <v>238</v>
      </c>
      <c r="G17" t="s">
        <v>237</v>
      </c>
      <c r="H17">
        <v>2</v>
      </c>
      <c r="I17">
        <v>3</v>
      </c>
      <c r="J17">
        <v>1</v>
      </c>
      <c r="K17">
        <v>7167.2099609375</v>
      </c>
      <c r="L17">
        <v>6519</v>
      </c>
      <c r="M17">
        <v>10000</v>
      </c>
      <c r="N17">
        <v>72</v>
      </c>
    </row>
    <row r="18" spans="1:14" x14ac:dyDescent="0.25">
      <c r="A18">
        <v>16</v>
      </c>
      <c r="B18">
        <v>159384</v>
      </c>
      <c r="C18">
        <v>200213622</v>
      </c>
      <c r="D18">
        <v>200215790</v>
      </c>
      <c r="E18" t="s">
        <v>213</v>
      </c>
      <c r="F18" t="s">
        <v>239</v>
      </c>
      <c r="G18" t="s">
        <v>221</v>
      </c>
      <c r="H18">
        <v>1</v>
      </c>
      <c r="I18">
        <v>1</v>
      </c>
      <c r="J18">
        <v>0</v>
      </c>
      <c r="K18">
        <v>78.779998779296875</v>
      </c>
      <c r="L18">
        <v>66</v>
      </c>
      <c r="M18">
        <v>9950</v>
      </c>
      <c r="N18">
        <v>1</v>
      </c>
    </row>
    <row r="19" spans="1:14" x14ac:dyDescent="0.25">
      <c r="A19">
        <v>17</v>
      </c>
      <c r="B19">
        <v>159384</v>
      </c>
      <c r="C19">
        <v>200215790</v>
      </c>
      <c r="D19">
        <v>200213622</v>
      </c>
      <c r="E19" t="s">
        <v>213</v>
      </c>
      <c r="F19" t="s">
        <v>239</v>
      </c>
      <c r="G19" t="s">
        <v>221</v>
      </c>
      <c r="H19">
        <v>1</v>
      </c>
      <c r="I19">
        <v>1</v>
      </c>
      <c r="J19">
        <v>0</v>
      </c>
      <c r="K19">
        <v>0</v>
      </c>
      <c r="L19">
        <v>0</v>
      </c>
      <c r="M19">
        <v>9950</v>
      </c>
      <c r="N19">
        <v>0</v>
      </c>
    </row>
    <row r="20" spans="1:14" x14ac:dyDescent="0.25">
      <c r="A20">
        <v>18</v>
      </c>
      <c r="B20">
        <v>159385</v>
      </c>
      <c r="C20">
        <v>200215790</v>
      </c>
      <c r="D20">
        <v>200205402</v>
      </c>
      <c r="E20" t="s">
        <v>240</v>
      </c>
      <c r="F20" t="s">
        <v>241</v>
      </c>
      <c r="G20" t="s">
        <v>232</v>
      </c>
      <c r="H20">
        <v>9</v>
      </c>
      <c r="I20">
        <v>10</v>
      </c>
      <c r="J20">
        <v>2</v>
      </c>
      <c r="K20">
        <v>20637.83984375</v>
      </c>
      <c r="L20">
        <v>18939</v>
      </c>
      <c r="M20">
        <v>19900</v>
      </c>
      <c r="N20">
        <v>104</v>
      </c>
    </row>
    <row r="21" spans="1:14" x14ac:dyDescent="0.25">
      <c r="A21">
        <v>19</v>
      </c>
      <c r="B21">
        <v>159537</v>
      </c>
      <c r="C21">
        <v>200200624</v>
      </c>
      <c r="D21">
        <v>200202827</v>
      </c>
      <c r="E21" t="s">
        <v>213</v>
      </c>
      <c r="F21" t="s">
        <v>239</v>
      </c>
      <c r="G21" t="s">
        <v>242</v>
      </c>
      <c r="H21">
        <v>3</v>
      </c>
      <c r="I21">
        <v>3</v>
      </c>
      <c r="J21">
        <v>0</v>
      </c>
      <c r="K21">
        <v>634.54998779296875</v>
      </c>
      <c r="L21">
        <v>541</v>
      </c>
      <c r="M21">
        <v>10000</v>
      </c>
      <c r="N21">
        <v>6</v>
      </c>
    </row>
    <row r="22" spans="1:14" x14ac:dyDescent="0.25">
      <c r="A22">
        <v>20</v>
      </c>
      <c r="B22">
        <v>159537</v>
      </c>
      <c r="C22">
        <v>200202827</v>
      </c>
      <c r="D22">
        <v>200200624</v>
      </c>
      <c r="E22" t="s">
        <v>213</v>
      </c>
      <c r="F22" t="s">
        <v>239</v>
      </c>
      <c r="G22" t="s">
        <v>242</v>
      </c>
      <c r="H22">
        <v>3</v>
      </c>
      <c r="I22">
        <v>3</v>
      </c>
      <c r="J22">
        <v>0</v>
      </c>
      <c r="K22">
        <v>0</v>
      </c>
      <c r="L22">
        <v>0</v>
      </c>
      <c r="M22">
        <v>10000</v>
      </c>
      <c r="N22">
        <v>0</v>
      </c>
    </row>
    <row r="23" spans="1:14" x14ac:dyDescent="0.25">
      <c r="A23">
        <v>21</v>
      </c>
      <c r="B23">
        <v>159729</v>
      </c>
      <c r="C23">
        <v>200017574</v>
      </c>
      <c r="D23">
        <v>200211959</v>
      </c>
      <c r="E23" t="s">
        <v>240</v>
      </c>
      <c r="F23" t="s">
        <v>243</v>
      </c>
      <c r="G23" t="s">
        <v>232</v>
      </c>
      <c r="H23">
        <v>1</v>
      </c>
      <c r="I23">
        <v>1</v>
      </c>
      <c r="J23">
        <v>0</v>
      </c>
      <c r="K23">
        <v>0</v>
      </c>
      <c r="L23">
        <v>0</v>
      </c>
      <c r="M23">
        <v>17750</v>
      </c>
      <c r="N23">
        <v>0</v>
      </c>
    </row>
    <row r="24" spans="1:14" x14ac:dyDescent="0.25">
      <c r="A24">
        <v>22</v>
      </c>
      <c r="B24">
        <v>159730</v>
      </c>
      <c r="C24">
        <v>200017574</v>
      </c>
      <c r="D24">
        <v>200203054</v>
      </c>
      <c r="E24" t="s">
        <v>219</v>
      </c>
      <c r="F24" t="s">
        <v>239</v>
      </c>
      <c r="G24" t="s">
        <v>244</v>
      </c>
      <c r="H24">
        <v>2</v>
      </c>
      <c r="I24">
        <v>2</v>
      </c>
      <c r="J24">
        <v>0</v>
      </c>
      <c r="K24">
        <v>0</v>
      </c>
      <c r="L24">
        <v>0</v>
      </c>
      <c r="M24">
        <v>7900</v>
      </c>
      <c r="N24">
        <v>0</v>
      </c>
    </row>
    <row r="25" spans="1:14" x14ac:dyDescent="0.25">
      <c r="A25">
        <v>23</v>
      </c>
      <c r="B25">
        <v>159730</v>
      </c>
      <c r="C25">
        <v>200203054</v>
      </c>
      <c r="D25">
        <v>200017574</v>
      </c>
      <c r="E25" t="s">
        <v>219</v>
      </c>
      <c r="F25" t="s">
        <v>239</v>
      </c>
      <c r="G25" t="s">
        <v>244</v>
      </c>
      <c r="H25">
        <v>2</v>
      </c>
      <c r="I25">
        <v>2</v>
      </c>
      <c r="J25">
        <v>0</v>
      </c>
      <c r="K25">
        <v>0</v>
      </c>
      <c r="L25">
        <v>0</v>
      </c>
      <c r="M25">
        <v>7900</v>
      </c>
      <c r="N25">
        <v>0</v>
      </c>
    </row>
    <row r="26" spans="1:14" x14ac:dyDescent="0.25">
      <c r="A26">
        <v>24</v>
      </c>
      <c r="B26">
        <v>159731</v>
      </c>
      <c r="C26">
        <v>200211673</v>
      </c>
      <c r="D26">
        <v>200017574</v>
      </c>
      <c r="E26" t="s">
        <v>240</v>
      </c>
      <c r="F26" t="s">
        <v>245</v>
      </c>
      <c r="G26" t="s">
        <v>221</v>
      </c>
      <c r="H26">
        <v>2</v>
      </c>
      <c r="I26">
        <v>2</v>
      </c>
      <c r="J26">
        <v>0</v>
      </c>
      <c r="K26">
        <v>0</v>
      </c>
      <c r="L26">
        <v>0</v>
      </c>
      <c r="M26">
        <v>26625</v>
      </c>
      <c r="N26">
        <v>0</v>
      </c>
    </row>
    <row r="27" spans="1:14" x14ac:dyDescent="0.25">
      <c r="A27">
        <v>25</v>
      </c>
      <c r="B27">
        <v>159732</v>
      </c>
      <c r="C27">
        <v>200029513</v>
      </c>
      <c r="D27">
        <v>200211959</v>
      </c>
      <c r="E27" t="s">
        <v>213</v>
      </c>
      <c r="F27" t="s">
        <v>246</v>
      </c>
      <c r="G27" t="s">
        <v>242</v>
      </c>
      <c r="H27">
        <v>8</v>
      </c>
      <c r="I27">
        <v>8</v>
      </c>
      <c r="J27">
        <v>0</v>
      </c>
      <c r="K27">
        <v>0</v>
      </c>
      <c r="L27">
        <v>0</v>
      </c>
      <c r="M27">
        <v>15000</v>
      </c>
      <c r="N27">
        <v>0</v>
      </c>
    </row>
    <row r="28" spans="1:14" x14ac:dyDescent="0.25">
      <c r="A28">
        <v>26</v>
      </c>
      <c r="B28">
        <v>159733</v>
      </c>
      <c r="C28">
        <v>200017574</v>
      </c>
      <c r="D28">
        <v>200029513</v>
      </c>
      <c r="E28" t="s">
        <v>247</v>
      </c>
      <c r="F28" t="s">
        <v>248</v>
      </c>
      <c r="G28" t="s">
        <v>244</v>
      </c>
      <c r="H28">
        <v>3</v>
      </c>
      <c r="I28">
        <v>3</v>
      </c>
      <c r="J28">
        <v>0</v>
      </c>
      <c r="K28">
        <v>0</v>
      </c>
      <c r="L28">
        <v>0</v>
      </c>
      <c r="M28">
        <v>7900</v>
      </c>
      <c r="N28">
        <v>0</v>
      </c>
    </row>
    <row r="29" spans="1:14" x14ac:dyDescent="0.25">
      <c r="A29">
        <v>27</v>
      </c>
      <c r="B29">
        <v>159733</v>
      </c>
      <c r="C29">
        <v>200029513</v>
      </c>
      <c r="D29">
        <v>200017574</v>
      </c>
      <c r="E29" t="s">
        <v>247</v>
      </c>
      <c r="F29" t="s">
        <v>248</v>
      </c>
      <c r="G29" t="s">
        <v>244</v>
      </c>
      <c r="H29">
        <v>3</v>
      </c>
      <c r="I29">
        <v>3</v>
      </c>
      <c r="J29">
        <v>0</v>
      </c>
      <c r="K29">
        <v>0</v>
      </c>
      <c r="L29">
        <v>0</v>
      </c>
      <c r="M29">
        <v>7900</v>
      </c>
      <c r="N29">
        <v>0</v>
      </c>
    </row>
    <row r="30" spans="1:14" x14ac:dyDescent="0.25">
      <c r="A30">
        <v>28</v>
      </c>
      <c r="B30">
        <v>159734</v>
      </c>
      <c r="C30">
        <v>200211673</v>
      </c>
      <c r="D30">
        <v>200029513</v>
      </c>
      <c r="E30" t="s">
        <v>213</v>
      </c>
      <c r="F30" t="s">
        <v>249</v>
      </c>
      <c r="G30" t="s">
        <v>242</v>
      </c>
      <c r="H30">
        <v>8</v>
      </c>
      <c r="I30">
        <v>8</v>
      </c>
      <c r="J30">
        <v>0</v>
      </c>
      <c r="K30">
        <v>0</v>
      </c>
      <c r="L30">
        <v>0</v>
      </c>
      <c r="M30">
        <v>15000</v>
      </c>
      <c r="N30">
        <v>0</v>
      </c>
    </row>
    <row r="31" spans="1:14" x14ac:dyDescent="0.25">
      <c r="A31">
        <v>29</v>
      </c>
      <c r="B31">
        <v>159770</v>
      </c>
      <c r="C31">
        <v>200193494</v>
      </c>
      <c r="D31">
        <v>200212588</v>
      </c>
      <c r="E31" t="s">
        <v>250</v>
      </c>
      <c r="F31" t="s">
        <v>251</v>
      </c>
      <c r="G31" t="s">
        <v>244</v>
      </c>
      <c r="H31">
        <v>2</v>
      </c>
      <c r="I31">
        <v>2</v>
      </c>
      <c r="J31">
        <v>0</v>
      </c>
      <c r="K31">
        <v>3243.300048828125</v>
      </c>
      <c r="L31">
        <v>3180</v>
      </c>
      <c r="M31">
        <v>7100</v>
      </c>
      <c r="N31">
        <v>46</v>
      </c>
    </row>
    <row r="32" spans="1:14" x14ac:dyDescent="0.25">
      <c r="A32">
        <v>30</v>
      </c>
      <c r="B32">
        <v>159770</v>
      </c>
      <c r="C32">
        <v>200212588</v>
      </c>
      <c r="D32">
        <v>200193494</v>
      </c>
      <c r="E32" t="s">
        <v>250</v>
      </c>
      <c r="F32" t="s">
        <v>251</v>
      </c>
      <c r="G32" t="s">
        <v>244</v>
      </c>
      <c r="H32">
        <v>2</v>
      </c>
      <c r="I32">
        <v>2</v>
      </c>
      <c r="J32">
        <v>0</v>
      </c>
      <c r="K32">
        <v>0</v>
      </c>
      <c r="L32">
        <v>0</v>
      </c>
      <c r="M32">
        <v>7100</v>
      </c>
      <c r="N32">
        <v>0</v>
      </c>
    </row>
    <row r="33" spans="1:14" x14ac:dyDescent="0.25">
      <c r="A33">
        <v>31</v>
      </c>
      <c r="B33">
        <v>160300</v>
      </c>
      <c r="C33">
        <v>200080357</v>
      </c>
      <c r="D33">
        <v>200026225</v>
      </c>
      <c r="E33" t="s">
        <v>213</v>
      </c>
      <c r="F33" t="s">
        <v>252</v>
      </c>
      <c r="G33" t="s">
        <v>215</v>
      </c>
      <c r="H33">
        <v>2</v>
      </c>
      <c r="I33">
        <v>2</v>
      </c>
      <c r="J33">
        <v>0</v>
      </c>
      <c r="K33">
        <v>596.42999267578125</v>
      </c>
      <c r="L33">
        <v>495</v>
      </c>
      <c r="M33">
        <v>10000</v>
      </c>
      <c r="N33">
        <v>6</v>
      </c>
    </row>
    <row r="34" spans="1:14" x14ac:dyDescent="0.25">
      <c r="A34">
        <v>32</v>
      </c>
      <c r="B34">
        <v>160301</v>
      </c>
      <c r="C34">
        <v>200020249</v>
      </c>
      <c r="D34">
        <v>200026225</v>
      </c>
      <c r="E34" t="s">
        <v>213</v>
      </c>
      <c r="F34" t="s">
        <v>253</v>
      </c>
      <c r="G34" t="s">
        <v>221</v>
      </c>
      <c r="H34">
        <v>6</v>
      </c>
      <c r="I34">
        <v>8</v>
      </c>
      <c r="J34">
        <v>3</v>
      </c>
      <c r="K34">
        <v>7907.5</v>
      </c>
      <c r="L34">
        <v>7209</v>
      </c>
      <c r="M34">
        <v>10000</v>
      </c>
      <c r="N34">
        <v>79</v>
      </c>
    </row>
    <row r="35" spans="1:14" x14ac:dyDescent="0.25">
      <c r="A35">
        <v>33</v>
      </c>
      <c r="B35">
        <v>160480</v>
      </c>
      <c r="C35">
        <v>200079969</v>
      </c>
      <c r="D35">
        <v>200072551</v>
      </c>
      <c r="E35" t="s">
        <v>213</v>
      </c>
      <c r="F35" t="s">
        <v>254</v>
      </c>
      <c r="G35" t="s">
        <v>215</v>
      </c>
      <c r="H35">
        <v>28</v>
      </c>
      <c r="I35">
        <v>40</v>
      </c>
      <c r="J35">
        <v>12</v>
      </c>
      <c r="K35">
        <v>7809.330078125</v>
      </c>
      <c r="L35">
        <v>7090</v>
      </c>
      <c r="M35">
        <v>10000</v>
      </c>
      <c r="N35">
        <v>78</v>
      </c>
    </row>
    <row r="36" spans="1:14" x14ac:dyDescent="0.25">
      <c r="A36">
        <v>34</v>
      </c>
      <c r="B36">
        <v>160481</v>
      </c>
      <c r="C36">
        <v>200026225</v>
      </c>
      <c r="D36">
        <v>200025831</v>
      </c>
      <c r="E36" t="s">
        <v>213</v>
      </c>
      <c r="F36" t="s">
        <v>255</v>
      </c>
      <c r="G36" t="s">
        <v>215</v>
      </c>
      <c r="H36">
        <v>33</v>
      </c>
      <c r="I36">
        <v>60</v>
      </c>
      <c r="J36">
        <v>27</v>
      </c>
      <c r="K36">
        <v>8503.9404296875</v>
      </c>
      <c r="L36">
        <v>7704</v>
      </c>
      <c r="M36">
        <v>10000</v>
      </c>
      <c r="N36">
        <v>85</v>
      </c>
    </row>
    <row r="37" spans="1:14" x14ac:dyDescent="0.25">
      <c r="A37">
        <v>35</v>
      </c>
      <c r="B37">
        <v>160482</v>
      </c>
      <c r="C37">
        <v>200080357</v>
      </c>
      <c r="D37">
        <v>200020643</v>
      </c>
      <c r="E37" t="s">
        <v>230</v>
      </c>
      <c r="F37" t="s">
        <v>256</v>
      </c>
      <c r="G37" t="s">
        <v>232</v>
      </c>
      <c r="H37">
        <v>9</v>
      </c>
      <c r="I37">
        <v>10</v>
      </c>
      <c r="J37">
        <v>1</v>
      </c>
      <c r="K37">
        <v>15729.2900390625</v>
      </c>
      <c r="L37">
        <v>14379</v>
      </c>
      <c r="M37">
        <v>19900</v>
      </c>
      <c r="N37">
        <v>79</v>
      </c>
    </row>
    <row r="38" spans="1:14" x14ac:dyDescent="0.25">
      <c r="A38">
        <v>36</v>
      </c>
      <c r="B38">
        <v>160503</v>
      </c>
      <c r="C38">
        <v>200019521</v>
      </c>
      <c r="D38">
        <v>200018857</v>
      </c>
      <c r="E38" t="s">
        <v>225</v>
      </c>
      <c r="F38" t="s">
        <v>257</v>
      </c>
      <c r="G38" t="s">
        <v>224</v>
      </c>
      <c r="H38">
        <v>1</v>
      </c>
      <c r="I38">
        <v>1</v>
      </c>
      <c r="J38">
        <v>0</v>
      </c>
      <c r="K38">
        <v>29284.240234375</v>
      </c>
      <c r="L38">
        <v>21948</v>
      </c>
      <c r="M38">
        <v>52500</v>
      </c>
      <c r="N38">
        <v>56</v>
      </c>
    </row>
    <row r="39" spans="1:14" x14ac:dyDescent="0.25">
      <c r="A39">
        <v>37</v>
      </c>
      <c r="B39">
        <v>160504</v>
      </c>
      <c r="C39">
        <v>200018857</v>
      </c>
      <c r="D39">
        <v>200025501</v>
      </c>
      <c r="E39" t="s">
        <v>213</v>
      </c>
      <c r="F39" t="s">
        <v>258</v>
      </c>
      <c r="G39" t="s">
        <v>237</v>
      </c>
      <c r="H39">
        <v>27</v>
      </c>
      <c r="I39">
        <v>83</v>
      </c>
      <c r="J39">
        <v>55</v>
      </c>
      <c r="K39">
        <v>9601.16015625</v>
      </c>
      <c r="L39">
        <v>7385</v>
      </c>
      <c r="M39">
        <v>10000</v>
      </c>
      <c r="N39">
        <v>96</v>
      </c>
    </row>
    <row r="40" spans="1:14" x14ac:dyDescent="0.25">
      <c r="A40">
        <v>38</v>
      </c>
      <c r="B40">
        <v>160508</v>
      </c>
      <c r="C40">
        <v>200020643</v>
      </c>
      <c r="D40">
        <v>200016896</v>
      </c>
      <c r="E40" t="s">
        <v>213</v>
      </c>
      <c r="F40" t="s">
        <v>259</v>
      </c>
      <c r="G40" t="s">
        <v>221</v>
      </c>
      <c r="H40">
        <v>1</v>
      </c>
      <c r="I40">
        <v>1</v>
      </c>
      <c r="J40">
        <v>0</v>
      </c>
      <c r="K40">
        <v>0</v>
      </c>
      <c r="L40">
        <v>0</v>
      </c>
      <c r="M40">
        <v>10000</v>
      </c>
      <c r="N40">
        <v>0</v>
      </c>
    </row>
    <row r="41" spans="1:14" x14ac:dyDescent="0.25">
      <c r="A41">
        <v>39</v>
      </c>
      <c r="B41">
        <v>160509</v>
      </c>
      <c r="C41">
        <v>200016896</v>
      </c>
      <c r="D41">
        <v>200070034</v>
      </c>
      <c r="E41" t="s">
        <v>230</v>
      </c>
      <c r="F41" t="s">
        <v>260</v>
      </c>
      <c r="G41" t="s">
        <v>232</v>
      </c>
      <c r="H41">
        <v>8</v>
      </c>
      <c r="I41">
        <v>9</v>
      </c>
      <c r="J41">
        <v>1</v>
      </c>
      <c r="K41">
        <v>20228.33984375</v>
      </c>
      <c r="L41">
        <v>18676</v>
      </c>
      <c r="M41">
        <v>19900</v>
      </c>
      <c r="N41">
        <v>102</v>
      </c>
    </row>
    <row r="42" spans="1:14" x14ac:dyDescent="0.25">
      <c r="A42">
        <v>40</v>
      </c>
      <c r="B42">
        <v>160510</v>
      </c>
      <c r="C42">
        <v>200070034</v>
      </c>
      <c r="D42">
        <v>200080357</v>
      </c>
      <c r="E42" t="s">
        <v>213</v>
      </c>
      <c r="F42" t="s">
        <v>261</v>
      </c>
      <c r="G42" t="s">
        <v>221</v>
      </c>
      <c r="H42">
        <v>2</v>
      </c>
      <c r="I42">
        <v>2</v>
      </c>
      <c r="J42">
        <v>0</v>
      </c>
      <c r="K42">
        <v>3103.4599609375</v>
      </c>
      <c r="L42">
        <v>1551</v>
      </c>
      <c r="M42">
        <v>10000</v>
      </c>
      <c r="N42">
        <v>31</v>
      </c>
    </row>
    <row r="43" spans="1:14" x14ac:dyDescent="0.25">
      <c r="A43">
        <v>41</v>
      </c>
      <c r="B43">
        <v>160511</v>
      </c>
      <c r="C43">
        <v>200070034</v>
      </c>
      <c r="D43">
        <v>200025064</v>
      </c>
      <c r="E43" t="s">
        <v>230</v>
      </c>
      <c r="F43" t="s">
        <v>261</v>
      </c>
      <c r="G43" t="s">
        <v>232</v>
      </c>
      <c r="H43">
        <v>1</v>
      </c>
      <c r="I43">
        <v>1</v>
      </c>
      <c r="J43">
        <v>0</v>
      </c>
      <c r="K43">
        <v>17124.880859375</v>
      </c>
      <c r="L43">
        <v>17124</v>
      </c>
      <c r="M43">
        <v>19900</v>
      </c>
      <c r="N43">
        <v>86</v>
      </c>
    </row>
    <row r="44" spans="1:14" x14ac:dyDescent="0.25">
      <c r="A44">
        <v>42</v>
      </c>
      <c r="B44">
        <v>160512</v>
      </c>
      <c r="C44">
        <v>200025064</v>
      </c>
      <c r="D44">
        <v>200080357</v>
      </c>
      <c r="E44" t="s">
        <v>213</v>
      </c>
      <c r="F44" t="s">
        <v>257</v>
      </c>
      <c r="G44" t="s">
        <v>221</v>
      </c>
      <c r="H44">
        <v>1</v>
      </c>
      <c r="I44">
        <v>1</v>
      </c>
      <c r="J44">
        <v>0</v>
      </c>
      <c r="K44">
        <v>0</v>
      </c>
      <c r="L44">
        <v>0</v>
      </c>
      <c r="M44">
        <v>10000</v>
      </c>
      <c r="N44">
        <v>0</v>
      </c>
    </row>
    <row r="45" spans="1:14" x14ac:dyDescent="0.25">
      <c r="A45">
        <v>43</v>
      </c>
      <c r="B45">
        <v>160512</v>
      </c>
      <c r="C45">
        <v>200080357</v>
      </c>
      <c r="D45">
        <v>200025064</v>
      </c>
      <c r="E45" t="s">
        <v>213</v>
      </c>
      <c r="F45" t="s">
        <v>257</v>
      </c>
      <c r="G45" t="s">
        <v>215</v>
      </c>
      <c r="H45">
        <v>1</v>
      </c>
      <c r="I45">
        <v>1</v>
      </c>
      <c r="J45">
        <v>0</v>
      </c>
      <c r="K45">
        <v>0</v>
      </c>
      <c r="L45">
        <v>0</v>
      </c>
      <c r="M45">
        <v>10000</v>
      </c>
      <c r="N45">
        <v>0</v>
      </c>
    </row>
    <row r="46" spans="1:14" x14ac:dyDescent="0.25">
      <c r="A46">
        <v>44</v>
      </c>
      <c r="B46">
        <v>160513</v>
      </c>
      <c r="C46">
        <v>200025064</v>
      </c>
      <c r="D46">
        <v>200208482</v>
      </c>
      <c r="E46" t="s">
        <v>230</v>
      </c>
      <c r="F46" t="s">
        <v>238</v>
      </c>
      <c r="G46" t="s">
        <v>232</v>
      </c>
      <c r="H46">
        <v>1</v>
      </c>
      <c r="I46">
        <v>1</v>
      </c>
      <c r="J46">
        <v>0</v>
      </c>
      <c r="K46">
        <v>0</v>
      </c>
      <c r="L46">
        <v>0</v>
      </c>
      <c r="M46">
        <v>19900</v>
      </c>
      <c r="N46">
        <v>0</v>
      </c>
    </row>
    <row r="47" spans="1:14" x14ac:dyDescent="0.25">
      <c r="A47">
        <v>45</v>
      </c>
      <c r="B47">
        <v>160515</v>
      </c>
      <c r="C47">
        <v>200082348</v>
      </c>
      <c r="D47">
        <v>200208482</v>
      </c>
      <c r="E47" t="s">
        <v>213</v>
      </c>
      <c r="F47" t="s">
        <v>245</v>
      </c>
      <c r="G47" t="s">
        <v>237</v>
      </c>
      <c r="H47">
        <v>2</v>
      </c>
      <c r="I47">
        <v>2</v>
      </c>
      <c r="J47">
        <v>0</v>
      </c>
      <c r="K47">
        <v>0</v>
      </c>
      <c r="L47">
        <v>0</v>
      </c>
      <c r="M47">
        <v>10000</v>
      </c>
      <c r="N47">
        <v>0</v>
      </c>
    </row>
    <row r="48" spans="1:14" x14ac:dyDescent="0.25">
      <c r="A48">
        <v>46</v>
      </c>
      <c r="B48">
        <v>160516</v>
      </c>
      <c r="C48">
        <v>200025064</v>
      </c>
      <c r="D48">
        <v>200082348</v>
      </c>
      <c r="E48" t="s">
        <v>213</v>
      </c>
      <c r="F48" t="s">
        <v>261</v>
      </c>
      <c r="G48" t="s">
        <v>237</v>
      </c>
      <c r="H48">
        <v>2</v>
      </c>
      <c r="I48">
        <v>2</v>
      </c>
      <c r="J48">
        <v>0</v>
      </c>
      <c r="K48">
        <v>0</v>
      </c>
      <c r="L48">
        <v>0</v>
      </c>
      <c r="M48">
        <v>10000</v>
      </c>
      <c r="N48">
        <v>0</v>
      </c>
    </row>
    <row r="49" spans="1:14" x14ac:dyDescent="0.25">
      <c r="A49">
        <v>47</v>
      </c>
      <c r="B49">
        <v>160516</v>
      </c>
      <c r="C49">
        <v>200082348</v>
      </c>
      <c r="D49">
        <v>200025064</v>
      </c>
      <c r="E49" t="s">
        <v>213</v>
      </c>
      <c r="F49" t="s">
        <v>261</v>
      </c>
      <c r="G49" t="s">
        <v>237</v>
      </c>
      <c r="H49">
        <v>2</v>
      </c>
      <c r="I49">
        <v>2</v>
      </c>
      <c r="J49">
        <v>0</v>
      </c>
      <c r="K49">
        <v>3171.090087890625</v>
      </c>
      <c r="L49">
        <v>2433</v>
      </c>
      <c r="M49">
        <v>10000</v>
      </c>
      <c r="N49">
        <v>32</v>
      </c>
    </row>
    <row r="50" spans="1:14" x14ac:dyDescent="0.25">
      <c r="A50">
        <v>48</v>
      </c>
      <c r="B50">
        <v>160671</v>
      </c>
      <c r="C50">
        <v>200031453</v>
      </c>
      <c r="D50">
        <v>200066924</v>
      </c>
      <c r="E50" t="s">
        <v>213</v>
      </c>
      <c r="F50" t="s">
        <v>262</v>
      </c>
      <c r="G50" t="s">
        <v>221</v>
      </c>
      <c r="H50">
        <v>24</v>
      </c>
      <c r="I50">
        <v>24</v>
      </c>
      <c r="J50">
        <v>0</v>
      </c>
      <c r="K50">
        <v>1451.52001953125</v>
      </c>
      <c r="L50">
        <v>819</v>
      </c>
      <c r="M50">
        <v>15000</v>
      </c>
      <c r="N50">
        <v>10</v>
      </c>
    </row>
    <row r="51" spans="1:14" x14ac:dyDescent="0.25">
      <c r="A51">
        <v>49</v>
      </c>
      <c r="B51">
        <v>160672</v>
      </c>
      <c r="C51">
        <v>200019836</v>
      </c>
      <c r="D51">
        <v>200031453</v>
      </c>
      <c r="E51" t="s">
        <v>213</v>
      </c>
      <c r="F51" t="s">
        <v>263</v>
      </c>
      <c r="G51" t="s">
        <v>215</v>
      </c>
      <c r="H51">
        <v>33</v>
      </c>
      <c r="I51">
        <v>34</v>
      </c>
      <c r="J51">
        <v>1</v>
      </c>
      <c r="K51">
        <v>5112.43994140625</v>
      </c>
      <c r="L51">
        <v>4524</v>
      </c>
      <c r="M51">
        <v>15000</v>
      </c>
      <c r="N51">
        <v>34</v>
      </c>
    </row>
    <row r="52" spans="1:14" x14ac:dyDescent="0.25">
      <c r="A52">
        <v>50</v>
      </c>
      <c r="B52">
        <v>160673</v>
      </c>
      <c r="C52">
        <v>200031840</v>
      </c>
      <c r="D52">
        <v>200068383</v>
      </c>
      <c r="E52" t="s">
        <v>213</v>
      </c>
      <c r="F52" t="s">
        <v>255</v>
      </c>
      <c r="G52" t="s">
        <v>221</v>
      </c>
      <c r="H52">
        <v>26</v>
      </c>
      <c r="I52">
        <v>26</v>
      </c>
      <c r="J52">
        <v>0</v>
      </c>
      <c r="K52">
        <v>728.65997314453125</v>
      </c>
      <c r="L52">
        <v>427</v>
      </c>
      <c r="M52">
        <v>15000</v>
      </c>
      <c r="N52">
        <v>5</v>
      </c>
    </row>
    <row r="53" spans="1:14" x14ac:dyDescent="0.25">
      <c r="A53">
        <v>51</v>
      </c>
      <c r="B53">
        <v>160674</v>
      </c>
      <c r="C53">
        <v>200068383</v>
      </c>
      <c r="D53">
        <v>200022851</v>
      </c>
      <c r="E53" t="s">
        <v>213</v>
      </c>
      <c r="F53" t="s">
        <v>264</v>
      </c>
      <c r="G53" t="s">
        <v>215</v>
      </c>
      <c r="H53">
        <v>31</v>
      </c>
      <c r="I53">
        <v>35</v>
      </c>
      <c r="J53">
        <v>5</v>
      </c>
      <c r="K53">
        <v>9454.240234375</v>
      </c>
      <c r="L53">
        <v>8215</v>
      </c>
      <c r="M53">
        <v>15000</v>
      </c>
      <c r="N53">
        <v>63</v>
      </c>
    </row>
    <row r="54" spans="1:14" x14ac:dyDescent="0.25">
      <c r="A54">
        <v>52</v>
      </c>
      <c r="B54">
        <v>164256</v>
      </c>
      <c r="C54">
        <v>200070066</v>
      </c>
      <c r="D54">
        <v>200194730</v>
      </c>
      <c r="E54" t="s">
        <v>265</v>
      </c>
      <c r="F54" t="s">
        <v>245</v>
      </c>
      <c r="G54" t="s">
        <v>221</v>
      </c>
      <c r="H54">
        <v>2</v>
      </c>
      <c r="I54">
        <v>2</v>
      </c>
      <c r="J54">
        <v>0</v>
      </c>
      <c r="K54">
        <v>0</v>
      </c>
      <c r="L54">
        <v>0</v>
      </c>
      <c r="M54">
        <v>7100</v>
      </c>
      <c r="N54">
        <v>0</v>
      </c>
    </row>
    <row r="55" spans="1:14" x14ac:dyDescent="0.25">
      <c r="A55">
        <v>53</v>
      </c>
      <c r="B55">
        <v>164256</v>
      </c>
      <c r="C55">
        <v>200194730</v>
      </c>
      <c r="D55">
        <v>200070066</v>
      </c>
      <c r="E55" t="s">
        <v>265</v>
      </c>
      <c r="F55" t="s">
        <v>245</v>
      </c>
      <c r="G55" t="s">
        <v>221</v>
      </c>
      <c r="H55">
        <v>2</v>
      </c>
      <c r="I55">
        <v>2</v>
      </c>
      <c r="J55">
        <v>0</v>
      </c>
      <c r="K55">
        <v>0</v>
      </c>
      <c r="L55">
        <v>0</v>
      </c>
      <c r="M55">
        <v>7100</v>
      </c>
      <c r="N55">
        <v>0</v>
      </c>
    </row>
    <row r="56" spans="1:14" x14ac:dyDescent="0.25">
      <c r="A56">
        <v>54</v>
      </c>
      <c r="B56">
        <v>164257</v>
      </c>
      <c r="C56">
        <v>200070066</v>
      </c>
      <c r="D56">
        <v>200196941</v>
      </c>
      <c r="E56" t="s">
        <v>240</v>
      </c>
      <c r="F56" t="s">
        <v>243</v>
      </c>
      <c r="G56" t="s">
        <v>237</v>
      </c>
      <c r="H56">
        <v>2</v>
      </c>
      <c r="I56">
        <v>2</v>
      </c>
      <c r="J56">
        <v>0</v>
      </c>
      <c r="K56">
        <v>0</v>
      </c>
      <c r="L56">
        <v>0</v>
      </c>
      <c r="M56">
        <v>17750</v>
      </c>
      <c r="N56">
        <v>0</v>
      </c>
    </row>
    <row r="57" spans="1:14" x14ac:dyDescent="0.25">
      <c r="A57">
        <v>55</v>
      </c>
      <c r="B57">
        <v>164258</v>
      </c>
      <c r="C57">
        <v>200027088</v>
      </c>
      <c r="D57">
        <v>200196941</v>
      </c>
      <c r="E57" t="s">
        <v>213</v>
      </c>
      <c r="F57" t="s">
        <v>227</v>
      </c>
      <c r="G57" t="s">
        <v>221</v>
      </c>
      <c r="H57">
        <v>3</v>
      </c>
      <c r="I57">
        <v>3</v>
      </c>
      <c r="J57">
        <v>0</v>
      </c>
      <c r="K57">
        <v>3089.10009765625</v>
      </c>
      <c r="L57">
        <v>3078</v>
      </c>
      <c r="M57">
        <v>15000</v>
      </c>
      <c r="N57">
        <v>21</v>
      </c>
    </row>
    <row r="58" spans="1:14" x14ac:dyDescent="0.25">
      <c r="A58">
        <v>56</v>
      </c>
      <c r="B58">
        <v>164450</v>
      </c>
      <c r="C58">
        <v>200209442</v>
      </c>
      <c r="D58">
        <v>200205103</v>
      </c>
      <c r="E58" t="s">
        <v>240</v>
      </c>
      <c r="F58" t="s">
        <v>269</v>
      </c>
      <c r="G58" t="s">
        <v>237</v>
      </c>
      <c r="H58">
        <v>10</v>
      </c>
      <c r="I58">
        <v>11</v>
      </c>
      <c r="J58">
        <v>1</v>
      </c>
      <c r="K58">
        <v>16316.23046875</v>
      </c>
      <c r="L58">
        <v>15766</v>
      </c>
      <c r="M58">
        <v>17750</v>
      </c>
      <c r="N58">
        <v>92</v>
      </c>
    </row>
    <row r="59" spans="1:14" x14ac:dyDescent="0.25">
      <c r="A59">
        <v>57</v>
      </c>
      <c r="B59">
        <v>164453</v>
      </c>
      <c r="C59">
        <v>200198336</v>
      </c>
      <c r="D59">
        <v>200205103</v>
      </c>
      <c r="E59" t="s">
        <v>213</v>
      </c>
      <c r="F59" t="s">
        <v>239</v>
      </c>
      <c r="G59" t="s">
        <v>242</v>
      </c>
      <c r="H59">
        <v>3</v>
      </c>
      <c r="I59">
        <v>3</v>
      </c>
      <c r="J59">
        <v>0</v>
      </c>
      <c r="K59">
        <v>0</v>
      </c>
      <c r="L59">
        <v>0</v>
      </c>
      <c r="M59">
        <v>15000</v>
      </c>
      <c r="N59">
        <v>0</v>
      </c>
    </row>
    <row r="60" spans="1:14" x14ac:dyDescent="0.25">
      <c r="A60">
        <v>58</v>
      </c>
      <c r="B60">
        <v>164453</v>
      </c>
      <c r="C60">
        <v>200205103</v>
      </c>
      <c r="D60">
        <v>200198336</v>
      </c>
      <c r="E60" t="s">
        <v>213</v>
      </c>
      <c r="F60" t="s">
        <v>239</v>
      </c>
      <c r="G60" t="s">
        <v>242</v>
      </c>
      <c r="H60">
        <v>3</v>
      </c>
      <c r="I60">
        <v>3</v>
      </c>
      <c r="J60">
        <v>0</v>
      </c>
      <c r="K60">
        <v>0</v>
      </c>
      <c r="L60">
        <v>0</v>
      </c>
      <c r="M60">
        <v>15000</v>
      </c>
      <c r="N60">
        <v>0</v>
      </c>
    </row>
    <row r="61" spans="1:14" x14ac:dyDescent="0.25">
      <c r="A61">
        <v>59</v>
      </c>
      <c r="B61">
        <v>164468</v>
      </c>
      <c r="C61">
        <v>200198064</v>
      </c>
      <c r="D61">
        <v>200202405</v>
      </c>
      <c r="E61" t="s">
        <v>213</v>
      </c>
      <c r="F61" t="s">
        <v>259</v>
      </c>
      <c r="G61" t="s">
        <v>215</v>
      </c>
      <c r="H61">
        <v>1</v>
      </c>
      <c r="I61">
        <v>1</v>
      </c>
      <c r="J61">
        <v>0</v>
      </c>
      <c r="K61">
        <v>0</v>
      </c>
      <c r="L61">
        <v>0</v>
      </c>
      <c r="M61">
        <v>8875</v>
      </c>
      <c r="N61">
        <v>0</v>
      </c>
    </row>
    <row r="62" spans="1:14" x14ac:dyDescent="0.25">
      <c r="A62">
        <v>60</v>
      </c>
      <c r="B62">
        <v>164468</v>
      </c>
      <c r="C62">
        <v>200202405</v>
      </c>
      <c r="D62">
        <v>200198064</v>
      </c>
      <c r="E62" t="s">
        <v>213</v>
      </c>
      <c r="F62" t="s">
        <v>259</v>
      </c>
      <c r="G62" t="s">
        <v>215</v>
      </c>
      <c r="H62">
        <v>1</v>
      </c>
      <c r="I62">
        <v>1</v>
      </c>
      <c r="J62">
        <v>0</v>
      </c>
      <c r="K62">
        <v>0</v>
      </c>
      <c r="L62">
        <v>0</v>
      </c>
      <c r="M62">
        <v>8875</v>
      </c>
      <c r="N62">
        <v>0</v>
      </c>
    </row>
    <row r="63" spans="1:14" x14ac:dyDescent="0.25">
      <c r="A63">
        <v>61</v>
      </c>
      <c r="B63">
        <v>164483</v>
      </c>
      <c r="C63">
        <v>200206438</v>
      </c>
      <c r="D63">
        <v>200021491</v>
      </c>
      <c r="E63" t="s">
        <v>213</v>
      </c>
      <c r="F63" t="s">
        <v>270</v>
      </c>
      <c r="G63" t="s">
        <v>237</v>
      </c>
      <c r="H63">
        <v>24</v>
      </c>
      <c r="I63">
        <v>25</v>
      </c>
      <c r="J63">
        <v>1</v>
      </c>
      <c r="K63">
        <v>5670.89990234375</v>
      </c>
      <c r="L63">
        <v>5512</v>
      </c>
      <c r="M63">
        <v>15000</v>
      </c>
      <c r="N63">
        <v>38</v>
      </c>
    </row>
    <row r="64" spans="1:14" x14ac:dyDescent="0.25">
      <c r="A64">
        <v>62</v>
      </c>
      <c r="B64">
        <v>164488</v>
      </c>
      <c r="C64">
        <v>200206438</v>
      </c>
      <c r="D64">
        <v>200070066</v>
      </c>
      <c r="E64" t="s">
        <v>240</v>
      </c>
      <c r="F64" t="s">
        <v>271</v>
      </c>
      <c r="G64" t="s">
        <v>237</v>
      </c>
      <c r="H64">
        <v>13</v>
      </c>
      <c r="I64">
        <v>13</v>
      </c>
      <c r="J64">
        <v>0</v>
      </c>
      <c r="K64">
        <v>10704.51953125</v>
      </c>
      <c r="L64">
        <v>10348</v>
      </c>
      <c r="M64">
        <v>17750</v>
      </c>
      <c r="N64">
        <v>60</v>
      </c>
    </row>
    <row r="65" spans="1:14" x14ac:dyDescent="0.25">
      <c r="A65">
        <v>63</v>
      </c>
      <c r="B65">
        <v>164489</v>
      </c>
      <c r="C65">
        <v>200027088</v>
      </c>
      <c r="D65">
        <v>200070066</v>
      </c>
      <c r="E65" t="s">
        <v>265</v>
      </c>
      <c r="F65" t="s">
        <v>243</v>
      </c>
      <c r="G65" t="s">
        <v>221</v>
      </c>
      <c r="H65">
        <v>2</v>
      </c>
      <c r="I65">
        <v>2</v>
      </c>
      <c r="J65">
        <v>0</v>
      </c>
      <c r="K65">
        <v>3109.550048828125</v>
      </c>
      <c r="L65">
        <v>2962</v>
      </c>
      <c r="M65">
        <v>7100</v>
      </c>
      <c r="N65">
        <v>44</v>
      </c>
    </row>
    <row r="66" spans="1:14" x14ac:dyDescent="0.25">
      <c r="A66">
        <v>64</v>
      </c>
      <c r="B66">
        <v>164489</v>
      </c>
      <c r="C66">
        <v>200070066</v>
      </c>
      <c r="D66">
        <v>200027088</v>
      </c>
      <c r="E66" t="s">
        <v>265</v>
      </c>
      <c r="F66" t="s">
        <v>243</v>
      </c>
      <c r="G66" t="s">
        <v>221</v>
      </c>
      <c r="H66">
        <v>2</v>
      </c>
      <c r="I66">
        <v>2</v>
      </c>
      <c r="J66">
        <v>0</v>
      </c>
      <c r="K66">
        <v>1057.829956054688</v>
      </c>
      <c r="L66">
        <v>1053</v>
      </c>
      <c r="M66">
        <v>7100</v>
      </c>
      <c r="N66">
        <v>15</v>
      </c>
    </row>
    <row r="67" spans="1:14" x14ac:dyDescent="0.25">
      <c r="A67">
        <v>65</v>
      </c>
      <c r="B67">
        <v>165131</v>
      </c>
      <c r="C67">
        <v>200068420</v>
      </c>
      <c r="D67">
        <v>200080392</v>
      </c>
      <c r="E67" t="s">
        <v>225</v>
      </c>
      <c r="F67" t="s">
        <v>272</v>
      </c>
      <c r="G67" t="s">
        <v>224</v>
      </c>
      <c r="H67">
        <v>1</v>
      </c>
      <c r="I67">
        <v>1</v>
      </c>
      <c r="J67">
        <v>0</v>
      </c>
      <c r="K67">
        <v>29284.240234375</v>
      </c>
      <c r="L67">
        <v>21948</v>
      </c>
      <c r="M67">
        <v>35000</v>
      </c>
      <c r="N67">
        <v>84</v>
      </c>
    </row>
    <row r="68" spans="1:14" x14ac:dyDescent="0.25">
      <c r="A68">
        <v>66</v>
      </c>
      <c r="B68">
        <v>166388</v>
      </c>
      <c r="C68">
        <v>200211465</v>
      </c>
      <c r="D68">
        <v>200077446</v>
      </c>
      <c r="E68" t="s">
        <v>240</v>
      </c>
      <c r="F68" t="s">
        <v>238</v>
      </c>
      <c r="G68" t="s">
        <v>237</v>
      </c>
      <c r="H68">
        <v>2</v>
      </c>
      <c r="I68">
        <v>2</v>
      </c>
      <c r="J68">
        <v>0</v>
      </c>
      <c r="K68">
        <v>0</v>
      </c>
      <c r="L68">
        <v>0</v>
      </c>
      <c r="M68">
        <v>15800</v>
      </c>
      <c r="N68">
        <v>0</v>
      </c>
    </row>
    <row r="69" spans="1:14" x14ac:dyDescent="0.25">
      <c r="A69">
        <v>67</v>
      </c>
      <c r="B69">
        <v>166389</v>
      </c>
      <c r="C69">
        <v>200211465</v>
      </c>
      <c r="D69">
        <v>200076049</v>
      </c>
      <c r="E69" t="s">
        <v>213</v>
      </c>
      <c r="F69" t="s">
        <v>276</v>
      </c>
      <c r="G69" t="s">
        <v>242</v>
      </c>
      <c r="H69">
        <v>7</v>
      </c>
      <c r="I69">
        <v>7</v>
      </c>
      <c r="J69">
        <v>0</v>
      </c>
      <c r="K69">
        <v>0</v>
      </c>
      <c r="L69">
        <v>0</v>
      </c>
      <c r="M69">
        <v>15000</v>
      </c>
      <c r="N69">
        <v>0</v>
      </c>
    </row>
    <row r="70" spans="1:14" x14ac:dyDescent="0.25">
      <c r="A70">
        <v>68</v>
      </c>
      <c r="B70">
        <v>166390</v>
      </c>
      <c r="C70">
        <v>200080485</v>
      </c>
      <c r="D70">
        <v>200213638</v>
      </c>
      <c r="E70" t="s">
        <v>240</v>
      </c>
      <c r="F70" t="s">
        <v>277</v>
      </c>
      <c r="G70" t="s">
        <v>237</v>
      </c>
      <c r="H70">
        <v>2</v>
      </c>
      <c r="I70">
        <v>2</v>
      </c>
      <c r="J70">
        <v>0</v>
      </c>
      <c r="K70">
        <v>0</v>
      </c>
      <c r="L70">
        <v>0</v>
      </c>
      <c r="M70">
        <v>15800</v>
      </c>
      <c r="N70">
        <v>0</v>
      </c>
    </row>
    <row r="71" spans="1:14" x14ac:dyDescent="0.25">
      <c r="A71">
        <v>69</v>
      </c>
      <c r="B71">
        <v>166391</v>
      </c>
      <c r="C71">
        <v>200079030</v>
      </c>
      <c r="D71">
        <v>200213638</v>
      </c>
      <c r="E71" t="s">
        <v>213</v>
      </c>
      <c r="F71" t="s">
        <v>246</v>
      </c>
      <c r="G71" t="s">
        <v>242</v>
      </c>
      <c r="H71">
        <v>8</v>
      </c>
      <c r="I71">
        <v>8</v>
      </c>
      <c r="J71">
        <v>0</v>
      </c>
      <c r="K71">
        <v>0</v>
      </c>
      <c r="L71">
        <v>0</v>
      </c>
      <c r="M71">
        <v>15000</v>
      </c>
      <c r="N71">
        <v>0</v>
      </c>
    </row>
    <row r="72" spans="1:14" x14ac:dyDescent="0.25">
      <c r="A72">
        <v>70</v>
      </c>
      <c r="B72">
        <v>167033</v>
      </c>
      <c r="C72">
        <v>200031488</v>
      </c>
      <c r="D72">
        <v>200016938</v>
      </c>
      <c r="E72" t="s">
        <v>213</v>
      </c>
      <c r="F72" t="s">
        <v>278</v>
      </c>
      <c r="G72" t="s">
        <v>237</v>
      </c>
      <c r="H72">
        <v>18</v>
      </c>
      <c r="I72">
        <v>19</v>
      </c>
      <c r="J72">
        <v>1</v>
      </c>
      <c r="K72">
        <v>4344.990234375</v>
      </c>
      <c r="L72">
        <v>4149</v>
      </c>
      <c r="M72">
        <v>10000</v>
      </c>
      <c r="N72">
        <v>43</v>
      </c>
    </row>
    <row r="73" spans="1:14" x14ac:dyDescent="0.25">
      <c r="A73">
        <v>71</v>
      </c>
      <c r="B73">
        <v>167034</v>
      </c>
      <c r="C73">
        <v>200080399</v>
      </c>
      <c r="D73">
        <v>200068420</v>
      </c>
      <c r="E73" t="s">
        <v>213</v>
      </c>
      <c r="F73" t="s">
        <v>279</v>
      </c>
      <c r="G73" t="s">
        <v>237</v>
      </c>
      <c r="H73">
        <v>16</v>
      </c>
      <c r="I73">
        <v>17</v>
      </c>
      <c r="J73">
        <v>1</v>
      </c>
      <c r="K73">
        <v>4111.72021484375</v>
      </c>
      <c r="L73">
        <v>3971</v>
      </c>
      <c r="M73">
        <v>10000</v>
      </c>
      <c r="N73">
        <v>41</v>
      </c>
    </row>
    <row r="74" spans="1:14" x14ac:dyDescent="0.25">
      <c r="A74">
        <v>72</v>
      </c>
      <c r="B74">
        <v>167261</v>
      </c>
      <c r="C74">
        <v>200214298</v>
      </c>
      <c r="D74">
        <v>200209442</v>
      </c>
      <c r="E74" t="s">
        <v>240</v>
      </c>
      <c r="F74" t="s">
        <v>281</v>
      </c>
      <c r="G74" t="s">
        <v>237</v>
      </c>
      <c r="H74">
        <v>22</v>
      </c>
      <c r="I74">
        <v>25</v>
      </c>
      <c r="J74">
        <v>3</v>
      </c>
      <c r="K74">
        <v>16316.23046875</v>
      </c>
      <c r="L74">
        <v>15766</v>
      </c>
      <c r="M74">
        <v>17750</v>
      </c>
      <c r="N74">
        <v>92</v>
      </c>
    </row>
    <row r="75" spans="1:14" x14ac:dyDescent="0.25">
      <c r="A75">
        <v>73</v>
      </c>
      <c r="B75">
        <v>167262</v>
      </c>
      <c r="C75">
        <v>200211588</v>
      </c>
      <c r="D75">
        <v>200192878</v>
      </c>
      <c r="E75" t="s">
        <v>240</v>
      </c>
      <c r="F75" t="s">
        <v>282</v>
      </c>
      <c r="G75" t="s">
        <v>237</v>
      </c>
      <c r="H75">
        <v>22</v>
      </c>
      <c r="I75">
        <v>24</v>
      </c>
      <c r="J75">
        <v>2</v>
      </c>
      <c r="K75">
        <v>16101.5400390625</v>
      </c>
      <c r="L75">
        <v>15476</v>
      </c>
      <c r="M75">
        <v>17750</v>
      </c>
      <c r="N75">
        <v>91</v>
      </c>
    </row>
    <row r="76" spans="1:14" x14ac:dyDescent="0.25">
      <c r="A76">
        <v>74</v>
      </c>
      <c r="B76">
        <v>167263</v>
      </c>
      <c r="C76">
        <v>200209442</v>
      </c>
      <c r="D76">
        <v>200211588</v>
      </c>
      <c r="E76" t="s">
        <v>213</v>
      </c>
      <c r="F76" t="s">
        <v>239</v>
      </c>
      <c r="G76" t="s">
        <v>215</v>
      </c>
      <c r="H76">
        <v>1</v>
      </c>
      <c r="I76">
        <v>1</v>
      </c>
      <c r="J76">
        <v>0</v>
      </c>
      <c r="K76">
        <v>0</v>
      </c>
      <c r="L76">
        <v>0</v>
      </c>
      <c r="M76">
        <v>8875</v>
      </c>
      <c r="N76">
        <v>0</v>
      </c>
    </row>
    <row r="77" spans="1:14" x14ac:dyDescent="0.25">
      <c r="A77">
        <v>75</v>
      </c>
      <c r="B77">
        <v>167263</v>
      </c>
      <c r="C77">
        <v>200211588</v>
      </c>
      <c r="D77">
        <v>200209442</v>
      </c>
      <c r="E77" t="s">
        <v>213</v>
      </c>
      <c r="F77" t="s">
        <v>239</v>
      </c>
      <c r="G77" t="s">
        <v>215</v>
      </c>
      <c r="H77">
        <v>1</v>
      </c>
      <c r="I77">
        <v>1</v>
      </c>
      <c r="J77">
        <v>0</v>
      </c>
      <c r="K77">
        <v>0</v>
      </c>
      <c r="L77">
        <v>0</v>
      </c>
      <c r="M77">
        <v>8875</v>
      </c>
      <c r="N77">
        <v>0</v>
      </c>
    </row>
    <row r="78" spans="1:14" x14ac:dyDescent="0.25">
      <c r="A78">
        <v>76</v>
      </c>
      <c r="B78">
        <v>179150</v>
      </c>
      <c r="C78">
        <v>200016938</v>
      </c>
      <c r="D78">
        <v>200074489</v>
      </c>
      <c r="E78" t="s">
        <v>213</v>
      </c>
      <c r="F78" t="s">
        <v>283</v>
      </c>
      <c r="G78" t="s">
        <v>237</v>
      </c>
      <c r="H78">
        <v>20</v>
      </c>
      <c r="I78">
        <v>20</v>
      </c>
      <c r="J78">
        <v>0</v>
      </c>
      <c r="K78">
        <v>128.86000061035159</v>
      </c>
      <c r="L78">
        <v>93</v>
      </c>
      <c r="M78">
        <v>10000</v>
      </c>
      <c r="N78">
        <v>1</v>
      </c>
    </row>
    <row r="79" spans="1:14" x14ac:dyDescent="0.25">
      <c r="A79">
        <v>77</v>
      </c>
      <c r="B79">
        <v>179151</v>
      </c>
      <c r="C79">
        <v>200017032</v>
      </c>
      <c r="D79">
        <v>200080399</v>
      </c>
      <c r="E79" t="s">
        <v>213</v>
      </c>
      <c r="F79" t="s">
        <v>284</v>
      </c>
      <c r="G79" t="s">
        <v>237</v>
      </c>
      <c r="H79">
        <v>18</v>
      </c>
      <c r="I79">
        <v>18</v>
      </c>
      <c r="J79">
        <v>0</v>
      </c>
      <c r="K79">
        <v>141.2200012207031</v>
      </c>
      <c r="L79">
        <v>117</v>
      </c>
      <c r="M79">
        <v>10000</v>
      </c>
      <c r="N79">
        <v>1</v>
      </c>
    </row>
    <row r="80" spans="1:14" x14ac:dyDescent="0.25">
      <c r="A80">
        <v>78</v>
      </c>
      <c r="B80">
        <v>180655</v>
      </c>
      <c r="C80">
        <v>200077446</v>
      </c>
      <c r="D80">
        <v>200200996</v>
      </c>
      <c r="E80" t="s">
        <v>240</v>
      </c>
      <c r="F80" t="s">
        <v>257</v>
      </c>
      <c r="G80" t="s">
        <v>237</v>
      </c>
      <c r="H80">
        <v>1</v>
      </c>
      <c r="I80">
        <v>1</v>
      </c>
      <c r="J80">
        <v>0</v>
      </c>
      <c r="K80">
        <v>0</v>
      </c>
      <c r="L80">
        <v>0</v>
      </c>
      <c r="M80">
        <v>15800</v>
      </c>
      <c r="N80">
        <v>0</v>
      </c>
    </row>
    <row r="81" spans="1:14" x14ac:dyDescent="0.25">
      <c r="A81">
        <v>79</v>
      </c>
      <c r="B81">
        <v>180657</v>
      </c>
      <c r="C81">
        <v>200076049</v>
      </c>
      <c r="D81">
        <v>200200996</v>
      </c>
      <c r="E81" t="s">
        <v>213</v>
      </c>
      <c r="F81" t="s">
        <v>276</v>
      </c>
      <c r="G81" t="s">
        <v>242</v>
      </c>
      <c r="H81">
        <v>7</v>
      </c>
      <c r="I81">
        <v>7</v>
      </c>
      <c r="J81">
        <v>0</v>
      </c>
      <c r="K81">
        <v>0</v>
      </c>
      <c r="L81">
        <v>0</v>
      </c>
      <c r="M81">
        <v>15000</v>
      </c>
      <c r="N81">
        <v>0</v>
      </c>
    </row>
    <row r="82" spans="1:14" x14ac:dyDescent="0.25">
      <c r="A82">
        <v>80</v>
      </c>
      <c r="B82">
        <v>180658</v>
      </c>
      <c r="C82">
        <v>200203177</v>
      </c>
      <c r="D82">
        <v>200080485</v>
      </c>
      <c r="E82" t="s">
        <v>240</v>
      </c>
      <c r="F82" t="s">
        <v>285</v>
      </c>
      <c r="G82" t="s">
        <v>237</v>
      </c>
      <c r="H82">
        <v>1</v>
      </c>
      <c r="I82">
        <v>1</v>
      </c>
      <c r="J82">
        <v>0</v>
      </c>
      <c r="K82">
        <v>0</v>
      </c>
      <c r="L82">
        <v>0</v>
      </c>
      <c r="M82">
        <v>15800</v>
      </c>
      <c r="N82">
        <v>0</v>
      </c>
    </row>
    <row r="83" spans="1:14" x14ac:dyDescent="0.25">
      <c r="A83">
        <v>81</v>
      </c>
      <c r="B83">
        <v>180659</v>
      </c>
      <c r="C83">
        <v>200203177</v>
      </c>
      <c r="D83">
        <v>200079030</v>
      </c>
      <c r="E83" t="s">
        <v>213</v>
      </c>
      <c r="F83" t="s">
        <v>243</v>
      </c>
      <c r="G83" t="s">
        <v>242</v>
      </c>
      <c r="H83">
        <v>5</v>
      </c>
      <c r="I83">
        <v>5</v>
      </c>
      <c r="J83">
        <v>0</v>
      </c>
      <c r="K83">
        <v>0</v>
      </c>
      <c r="L83">
        <v>0</v>
      </c>
      <c r="M83">
        <v>15000</v>
      </c>
      <c r="N83">
        <v>0</v>
      </c>
    </row>
    <row r="84" spans="1:14" x14ac:dyDescent="0.25">
      <c r="A84">
        <v>82</v>
      </c>
      <c r="B84">
        <v>640275</v>
      </c>
      <c r="C84">
        <v>200202110</v>
      </c>
      <c r="D84">
        <v>200206427</v>
      </c>
      <c r="E84" t="s">
        <v>286</v>
      </c>
      <c r="F84" t="s">
        <v>287</v>
      </c>
      <c r="G84" t="s">
        <v>275</v>
      </c>
      <c r="H84">
        <v>6</v>
      </c>
      <c r="I84">
        <v>7</v>
      </c>
      <c r="J84">
        <v>1</v>
      </c>
      <c r="K84">
        <v>6250.919921875</v>
      </c>
      <c r="L84">
        <v>6030</v>
      </c>
      <c r="M84">
        <v>7100</v>
      </c>
      <c r="N84">
        <v>88</v>
      </c>
    </row>
    <row r="85" spans="1:14" x14ac:dyDescent="0.25">
      <c r="A85">
        <v>83</v>
      </c>
      <c r="B85">
        <v>640275</v>
      </c>
      <c r="C85">
        <v>200206427</v>
      </c>
      <c r="D85">
        <v>200202110</v>
      </c>
      <c r="E85" t="s">
        <v>286</v>
      </c>
      <c r="F85" t="s">
        <v>287</v>
      </c>
      <c r="G85" t="s">
        <v>275</v>
      </c>
      <c r="H85">
        <v>6</v>
      </c>
      <c r="I85">
        <v>6</v>
      </c>
      <c r="J85">
        <v>0</v>
      </c>
      <c r="K85">
        <v>2275.389892578125</v>
      </c>
      <c r="L85">
        <v>2113</v>
      </c>
      <c r="M85">
        <v>7100</v>
      </c>
      <c r="N85">
        <v>32</v>
      </c>
    </row>
    <row r="86" spans="1:14" x14ac:dyDescent="0.25">
      <c r="A86">
        <v>84</v>
      </c>
      <c r="B86">
        <v>640300</v>
      </c>
      <c r="C86">
        <v>200077446</v>
      </c>
      <c r="D86">
        <v>200080485</v>
      </c>
      <c r="E86" t="s">
        <v>288</v>
      </c>
      <c r="F86" t="s">
        <v>289</v>
      </c>
      <c r="G86" t="s">
        <v>275</v>
      </c>
      <c r="H86">
        <v>1</v>
      </c>
      <c r="I86">
        <v>1</v>
      </c>
      <c r="J86">
        <v>0</v>
      </c>
      <c r="K86">
        <v>0</v>
      </c>
      <c r="L86">
        <v>0</v>
      </c>
      <c r="M86">
        <v>7100</v>
      </c>
      <c r="N86">
        <v>0</v>
      </c>
    </row>
    <row r="87" spans="1:14" x14ac:dyDescent="0.25">
      <c r="A87">
        <v>85</v>
      </c>
      <c r="B87">
        <v>640300</v>
      </c>
      <c r="C87">
        <v>200080485</v>
      </c>
      <c r="D87">
        <v>200077446</v>
      </c>
      <c r="E87" t="s">
        <v>288</v>
      </c>
      <c r="F87" t="s">
        <v>289</v>
      </c>
      <c r="G87" t="s">
        <v>275</v>
      </c>
      <c r="H87">
        <v>1</v>
      </c>
      <c r="I87">
        <v>1</v>
      </c>
      <c r="J87">
        <v>0</v>
      </c>
      <c r="K87">
        <v>0</v>
      </c>
      <c r="L87">
        <v>0</v>
      </c>
      <c r="M87">
        <v>7100</v>
      </c>
      <c r="N87">
        <v>0</v>
      </c>
    </row>
    <row r="88" spans="1:14" x14ac:dyDescent="0.25">
      <c r="A88">
        <v>86</v>
      </c>
      <c r="B88">
        <v>641029</v>
      </c>
      <c r="C88">
        <v>200076049</v>
      </c>
      <c r="D88">
        <v>200077446</v>
      </c>
      <c r="E88" t="s">
        <v>288</v>
      </c>
      <c r="F88" t="s">
        <v>261</v>
      </c>
      <c r="G88" t="s">
        <v>275</v>
      </c>
      <c r="H88">
        <v>2</v>
      </c>
      <c r="I88">
        <v>2</v>
      </c>
      <c r="J88">
        <v>0</v>
      </c>
      <c r="K88">
        <v>0</v>
      </c>
      <c r="L88">
        <v>0</v>
      </c>
      <c r="M88">
        <v>7100</v>
      </c>
      <c r="N88">
        <v>0</v>
      </c>
    </row>
    <row r="89" spans="1:14" x14ac:dyDescent="0.25">
      <c r="A89">
        <v>87</v>
      </c>
      <c r="B89">
        <v>641029</v>
      </c>
      <c r="C89">
        <v>200077446</v>
      </c>
      <c r="D89">
        <v>200076049</v>
      </c>
      <c r="E89" t="s">
        <v>288</v>
      </c>
      <c r="F89" t="s">
        <v>261</v>
      </c>
      <c r="G89" t="s">
        <v>275</v>
      </c>
      <c r="H89">
        <v>2</v>
      </c>
      <c r="I89">
        <v>2</v>
      </c>
      <c r="J89">
        <v>0</v>
      </c>
      <c r="K89">
        <v>0</v>
      </c>
      <c r="L89">
        <v>0</v>
      </c>
      <c r="M89">
        <v>7100</v>
      </c>
      <c r="N89">
        <v>0</v>
      </c>
    </row>
    <row r="90" spans="1:14" x14ac:dyDescent="0.25">
      <c r="A90">
        <v>88</v>
      </c>
      <c r="B90">
        <v>641030</v>
      </c>
      <c r="C90">
        <v>200079030</v>
      </c>
      <c r="D90">
        <v>200080485</v>
      </c>
      <c r="E90" t="s">
        <v>288</v>
      </c>
      <c r="F90" t="s">
        <v>272</v>
      </c>
      <c r="G90" t="s">
        <v>244</v>
      </c>
      <c r="H90">
        <v>2</v>
      </c>
      <c r="I90">
        <v>2</v>
      </c>
      <c r="J90">
        <v>0</v>
      </c>
      <c r="K90">
        <v>0</v>
      </c>
      <c r="L90">
        <v>0</v>
      </c>
      <c r="M90">
        <v>7100</v>
      </c>
      <c r="N90">
        <v>0</v>
      </c>
    </row>
    <row r="91" spans="1:14" x14ac:dyDescent="0.25">
      <c r="A91">
        <v>89</v>
      </c>
      <c r="B91">
        <v>641030</v>
      </c>
      <c r="C91">
        <v>200080485</v>
      </c>
      <c r="D91">
        <v>200079030</v>
      </c>
      <c r="E91" t="s">
        <v>288</v>
      </c>
      <c r="F91" t="s">
        <v>272</v>
      </c>
      <c r="G91" t="s">
        <v>244</v>
      </c>
      <c r="H91">
        <v>2</v>
      </c>
      <c r="I91">
        <v>2</v>
      </c>
      <c r="J91">
        <v>0</v>
      </c>
      <c r="K91">
        <v>0</v>
      </c>
      <c r="L91">
        <v>0</v>
      </c>
      <c r="M91">
        <v>7100</v>
      </c>
      <c r="N91">
        <v>0</v>
      </c>
    </row>
    <row r="92" spans="1:14" x14ac:dyDescent="0.25">
      <c r="A92">
        <v>90</v>
      </c>
      <c r="B92">
        <v>723302</v>
      </c>
      <c r="C92">
        <v>200213622</v>
      </c>
      <c r="D92">
        <v>200020249</v>
      </c>
      <c r="E92" t="s">
        <v>230</v>
      </c>
      <c r="F92" t="s">
        <v>253</v>
      </c>
      <c r="G92" t="s">
        <v>232</v>
      </c>
      <c r="H92">
        <v>4</v>
      </c>
      <c r="I92">
        <v>5</v>
      </c>
      <c r="J92">
        <v>1</v>
      </c>
      <c r="K92">
        <v>21392.849609375</v>
      </c>
      <c r="L92">
        <v>19847</v>
      </c>
      <c r="M92">
        <v>19900</v>
      </c>
      <c r="N92">
        <v>108</v>
      </c>
    </row>
    <row r="93" spans="1:14" x14ac:dyDescent="0.25">
      <c r="A93">
        <v>91</v>
      </c>
      <c r="B93">
        <v>731849</v>
      </c>
      <c r="C93">
        <v>200211437</v>
      </c>
      <c r="D93">
        <v>200213622</v>
      </c>
      <c r="E93" t="s">
        <v>240</v>
      </c>
      <c r="F93" t="s">
        <v>271</v>
      </c>
      <c r="G93" t="s">
        <v>232</v>
      </c>
      <c r="H93">
        <v>9</v>
      </c>
      <c r="I93">
        <v>11</v>
      </c>
      <c r="J93">
        <v>2</v>
      </c>
      <c r="K93">
        <v>21471.630859375</v>
      </c>
      <c r="L93">
        <v>19913</v>
      </c>
      <c r="M93">
        <v>19900</v>
      </c>
      <c r="N93">
        <v>108</v>
      </c>
    </row>
    <row r="94" spans="1:14" x14ac:dyDescent="0.25">
      <c r="A94">
        <v>92</v>
      </c>
      <c r="B94">
        <v>776024</v>
      </c>
      <c r="C94">
        <v>200021491</v>
      </c>
      <c r="D94">
        <v>200027088</v>
      </c>
      <c r="E94" t="s">
        <v>265</v>
      </c>
      <c r="F94" t="s">
        <v>290</v>
      </c>
      <c r="G94" t="s">
        <v>221</v>
      </c>
      <c r="H94">
        <v>11</v>
      </c>
      <c r="I94">
        <v>12</v>
      </c>
      <c r="J94">
        <v>1</v>
      </c>
      <c r="K94">
        <v>6198.64990234375</v>
      </c>
      <c r="L94">
        <v>6040</v>
      </c>
      <c r="M94">
        <v>7100</v>
      </c>
      <c r="N94">
        <v>87</v>
      </c>
    </row>
    <row r="95" spans="1:14" x14ac:dyDescent="0.25">
      <c r="A95">
        <v>93</v>
      </c>
      <c r="B95">
        <v>776024</v>
      </c>
      <c r="C95">
        <v>200027088</v>
      </c>
      <c r="D95">
        <v>200021491</v>
      </c>
      <c r="E95" t="s">
        <v>265</v>
      </c>
      <c r="F95" t="s">
        <v>290</v>
      </c>
      <c r="G95" t="s">
        <v>221</v>
      </c>
      <c r="H95">
        <v>11</v>
      </c>
      <c r="I95">
        <v>11</v>
      </c>
      <c r="J95">
        <v>0</v>
      </c>
      <c r="K95">
        <v>1057.829956054688</v>
      </c>
      <c r="L95">
        <v>1053</v>
      </c>
      <c r="M95">
        <v>7100</v>
      </c>
      <c r="N95">
        <v>15</v>
      </c>
    </row>
    <row r="96" spans="1:14" x14ac:dyDescent="0.25">
      <c r="A96">
        <v>94</v>
      </c>
      <c r="B96">
        <v>1025324</v>
      </c>
      <c r="C96">
        <v>200022851</v>
      </c>
      <c r="D96">
        <v>200068775</v>
      </c>
      <c r="E96" t="s">
        <v>291</v>
      </c>
      <c r="F96" t="s">
        <v>292</v>
      </c>
      <c r="G96" t="s">
        <v>224</v>
      </c>
      <c r="H96">
        <v>60</v>
      </c>
      <c r="I96">
        <v>67</v>
      </c>
      <c r="J96">
        <v>6</v>
      </c>
      <c r="K96">
        <v>20308.880859375</v>
      </c>
      <c r="L96">
        <v>17147</v>
      </c>
      <c r="M96">
        <v>33000</v>
      </c>
      <c r="N96">
        <v>62</v>
      </c>
    </row>
    <row r="97" spans="1:14" x14ac:dyDescent="0.25">
      <c r="A97">
        <v>95</v>
      </c>
      <c r="B97">
        <v>1042974</v>
      </c>
      <c r="C97">
        <v>200019836</v>
      </c>
      <c r="D97">
        <v>200066924</v>
      </c>
      <c r="E97" t="s">
        <v>228</v>
      </c>
      <c r="F97" t="s">
        <v>293</v>
      </c>
      <c r="G97" t="s">
        <v>224</v>
      </c>
      <c r="H97">
        <v>31</v>
      </c>
      <c r="I97">
        <v>32</v>
      </c>
      <c r="J97">
        <v>0</v>
      </c>
      <c r="K97">
        <v>9708.7197265625</v>
      </c>
      <c r="L97">
        <v>8138</v>
      </c>
      <c r="M97">
        <v>33000</v>
      </c>
      <c r="N97">
        <v>29</v>
      </c>
    </row>
    <row r="98" spans="1:14" x14ac:dyDescent="0.25">
      <c r="A98">
        <v>96</v>
      </c>
      <c r="B98">
        <v>1383416</v>
      </c>
      <c r="C98">
        <v>200198064</v>
      </c>
      <c r="D98">
        <v>200206438</v>
      </c>
      <c r="E98" t="s">
        <v>240</v>
      </c>
      <c r="F98" t="s">
        <v>294</v>
      </c>
      <c r="G98" t="s">
        <v>237</v>
      </c>
      <c r="H98">
        <v>17</v>
      </c>
      <c r="I98">
        <v>19</v>
      </c>
      <c r="J98">
        <v>2</v>
      </c>
      <c r="K98">
        <v>16375.419921875</v>
      </c>
      <c r="L98">
        <v>15860</v>
      </c>
      <c r="M98">
        <v>17750</v>
      </c>
      <c r="N98">
        <v>92</v>
      </c>
    </row>
    <row r="99" spans="1:14" x14ac:dyDescent="0.25">
      <c r="A99">
        <v>97</v>
      </c>
      <c r="B99">
        <v>1666431</v>
      </c>
      <c r="C99">
        <v>200192827</v>
      </c>
      <c r="D99">
        <v>200198863</v>
      </c>
      <c r="E99" t="s">
        <v>286</v>
      </c>
      <c r="F99" t="s">
        <v>295</v>
      </c>
      <c r="G99" t="s">
        <v>275</v>
      </c>
      <c r="H99">
        <v>7</v>
      </c>
      <c r="I99">
        <v>7</v>
      </c>
      <c r="J99">
        <v>1</v>
      </c>
      <c r="K99">
        <v>5613.77001953125</v>
      </c>
      <c r="L99">
        <v>5443</v>
      </c>
      <c r="M99">
        <v>7100</v>
      </c>
      <c r="N99">
        <v>79</v>
      </c>
    </row>
    <row r="100" spans="1:14" x14ac:dyDescent="0.25">
      <c r="A100">
        <v>98</v>
      </c>
      <c r="B100">
        <v>1666431</v>
      </c>
      <c r="C100">
        <v>200198863</v>
      </c>
      <c r="D100">
        <v>200192827</v>
      </c>
      <c r="E100" t="s">
        <v>286</v>
      </c>
      <c r="F100" t="s">
        <v>295</v>
      </c>
      <c r="G100" t="s">
        <v>275</v>
      </c>
      <c r="H100">
        <v>7</v>
      </c>
      <c r="I100">
        <v>7</v>
      </c>
      <c r="J100">
        <v>1</v>
      </c>
      <c r="K100">
        <v>6155.64990234375</v>
      </c>
      <c r="L100">
        <v>5960</v>
      </c>
      <c r="M100">
        <v>7100</v>
      </c>
      <c r="N100">
        <v>87</v>
      </c>
    </row>
    <row r="101" spans="1:14" x14ac:dyDescent="0.25">
      <c r="A101">
        <v>99</v>
      </c>
      <c r="B101">
        <v>1725881</v>
      </c>
      <c r="C101">
        <v>200068775</v>
      </c>
      <c r="D101">
        <v>200025831</v>
      </c>
      <c r="E101" t="s">
        <v>291</v>
      </c>
      <c r="F101" t="s">
        <v>296</v>
      </c>
      <c r="G101" t="s">
        <v>224</v>
      </c>
      <c r="H101">
        <v>28</v>
      </c>
      <c r="I101">
        <v>30</v>
      </c>
      <c r="J101">
        <v>1</v>
      </c>
      <c r="K101">
        <v>17137.779296875</v>
      </c>
      <c r="L101">
        <v>14714</v>
      </c>
      <c r="M101">
        <v>35000</v>
      </c>
      <c r="N101">
        <v>49</v>
      </c>
    </row>
    <row r="102" spans="1:14" x14ac:dyDescent="0.25">
      <c r="A102">
        <v>100</v>
      </c>
      <c r="B102">
        <v>1978857</v>
      </c>
      <c r="C102">
        <v>200074067</v>
      </c>
      <c r="D102">
        <v>200077051</v>
      </c>
      <c r="E102" t="s">
        <v>297</v>
      </c>
      <c r="F102" t="s">
        <v>298</v>
      </c>
      <c r="G102" t="s">
        <v>221</v>
      </c>
      <c r="H102">
        <v>6</v>
      </c>
      <c r="I102">
        <v>14</v>
      </c>
      <c r="J102">
        <v>7</v>
      </c>
      <c r="K102">
        <v>11624.2099609375</v>
      </c>
      <c r="L102">
        <v>9457</v>
      </c>
      <c r="M102">
        <v>7800</v>
      </c>
      <c r="N102">
        <v>149</v>
      </c>
    </row>
    <row r="103" spans="1:14" x14ac:dyDescent="0.25">
      <c r="A103">
        <v>101</v>
      </c>
      <c r="B103">
        <v>1978857</v>
      </c>
      <c r="C103">
        <v>200077051</v>
      </c>
      <c r="D103">
        <v>200074067</v>
      </c>
      <c r="E103" t="s">
        <v>297</v>
      </c>
      <c r="F103" t="s">
        <v>298</v>
      </c>
      <c r="G103" t="s">
        <v>221</v>
      </c>
      <c r="H103">
        <v>6</v>
      </c>
      <c r="I103">
        <v>7</v>
      </c>
      <c r="J103">
        <v>1</v>
      </c>
      <c r="K103">
        <v>6653.0498046875</v>
      </c>
      <c r="L103">
        <v>5832</v>
      </c>
      <c r="M103">
        <v>7800</v>
      </c>
      <c r="N103">
        <v>85</v>
      </c>
    </row>
    <row r="104" spans="1:14" x14ac:dyDescent="0.25">
      <c r="A104">
        <v>102</v>
      </c>
      <c r="B104">
        <v>2486936</v>
      </c>
      <c r="C104">
        <v>200017032</v>
      </c>
      <c r="D104">
        <v>200068420</v>
      </c>
      <c r="E104" t="s">
        <v>225</v>
      </c>
      <c r="F104" t="s">
        <v>299</v>
      </c>
      <c r="G104" t="s">
        <v>224</v>
      </c>
      <c r="H104">
        <v>19</v>
      </c>
      <c r="I104">
        <v>23</v>
      </c>
      <c r="J104">
        <v>3</v>
      </c>
      <c r="K104">
        <v>25172.529296875</v>
      </c>
      <c r="L104">
        <v>17976</v>
      </c>
      <c r="M104">
        <v>35000</v>
      </c>
      <c r="N104">
        <v>72</v>
      </c>
    </row>
    <row r="105" spans="1:14" x14ac:dyDescent="0.25">
      <c r="A105">
        <v>103</v>
      </c>
      <c r="B105">
        <v>2627732</v>
      </c>
      <c r="C105">
        <v>200205402</v>
      </c>
      <c r="D105">
        <v>200200624</v>
      </c>
      <c r="E105" t="s">
        <v>240</v>
      </c>
      <c r="F105" t="s">
        <v>300</v>
      </c>
      <c r="G105" t="s">
        <v>232</v>
      </c>
      <c r="H105">
        <v>19</v>
      </c>
      <c r="I105">
        <v>23</v>
      </c>
      <c r="J105">
        <v>4</v>
      </c>
      <c r="K105">
        <v>20698.19921875</v>
      </c>
      <c r="L105">
        <v>18991</v>
      </c>
      <c r="M105">
        <v>19900</v>
      </c>
      <c r="N105">
        <v>104</v>
      </c>
    </row>
    <row r="106" spans="1:14" x14ac:dyDescent="0.25">
      <c r="A106">
        <v>104</v>
      </c>
      <c r="B106">
        <v>2784042</v>
      </c>
      <c r="C106">
        <v>200016896</v>
      </c>
      <c r="D106">
        <v>200027735</v>
      </c>
      <c r="E106" t="s">
        <v>213</v>
      </c>
      <c r="F106" t="s">
        <v>234</v>
      </c>
      <c r="G106" t="s">
        <v>215</v>
      </c>
      <c r="H106">
        <v>33</v>
      </c>
      <c r="I106">
        <v>33</v>
      </c>
      <c r="J106">
        <v>0</v>
      </c>
      <c r="K106">
        <v>949.96002197265625</v>
      </c>
      <c r="L106">
        <v>729</v>
      </c>
      <c r="M106">
        <v>10000</v>
      </c>
      <c r="N106">
        <v>9</v>
      </c>
    </row>
    <row r="107" spans="1:14" x14ac:dyDescent="0.25">
      <c r="A107">
        <v>105</v>
      </c>
      <c r="B107">
        <v>3213207</v>
      </c>
      <c r="C107">
        <v>200202827</v>
      </c>
      <c r="D107">
        <v>200211437</v>
      </c>
      <c r="E107" t="s">
        <v>240</v>
      </c>
      <c r="F107" t="s">
        <v>301</v>
      </c>
      <c r="G107" t="s">
        <v>232</v>
      </c>
      <c r="H107">
        <v>19</v>
      </c>
      <c r="I107">
        <v>23</v>
      </c>
      <c r="J107">
        <v>4</v>
      </c>
      <c r="K107">
        <v>21482.5703125</v>
      </c>
      <c r="L107">
        <v>19925</v>
      </c>
      <c r="M107">
        <v>19900</v>
      </c>
      <c r="N107">
        <v>108</v>
      </c>
    </row>
    <row r="108" spans="1:14" x14ac:dyDescent="0.25">
      <c r="A108">
        <v>106</v>
      </c>
      <c r="B108">
        <v>3463821</v>
      </c>
      <c r="C108">
        <v>200068775</v>
      </c>
      <c r="D108">
        <v>200082348</v>
      </c>
      <c r="E108" t="s">
        <v>213</v>
      </c>
      <c r="F108" t="s">
        <v>302</v>
      </c>
      <c r="G108" t="s">
        <v>215</v>
      </c>
      <c r="H108">
        <v>22</v>
      </c>
      <c r="I108">
        <v>22</v>
      </c>
      <c r="J108">
        <v>1</v>
      </c>
      <c r="K108">
        <v>3171.090087890625</v>
      </c>
      <c r="L108">
        <v>2433</v>
      </c>
      <c r="M108">
        <v>10000</v>
      </c>
      <c r="N108">
        <v>32</v>
      </c>
    </row>
    <row r="109" spans="1:14" x14ac:dyDescent="0.25">
      <c r="A109">
        <v>107</v>
      </c>
      <c r="B109">
        <v>3770946</v>
      </c>
      <c r="C109">
        <v>200198336</v>
      </c>
      <c r="D109">
        <v>200211588</v>
      </c>
      <c r="E109" t="s">
        <v>240</v>
      </c>
      <c r="F109" t="s">
        <v>269</v>
      </c>
      <c r="G109" t="s">
        <v>237</v>
      </c>
      <c r="H109">
        <v>10</v>
      </c>
      <c r="I109">
        <v>11</v>
      </c>
      <c r="J109">
        <v>1</v>
      </c>
      <c r="K109">
        <v>16101.5400390625</v>
      </c>
      <c r="L109">
        <v>15476</v>
      </c>
      <c r="M109">
        <v>17750</v>
      </c>
      <c r="N109">
        <v>91</v>
      </c>
    </row>
    <row r="110" spans="1:14" x14ac:dyDescent="0.25">
      <c r="A110">
        <v>108</v>
      </c>
      <c r="B110">
        <v>3826199</v>
      </c>
      <c r="C110">
        <v>200212588</v>
      </c>
      <c r="D110">
        <v>200202494</v>
      </c>
      <c r="E110" t="s">
        <v>240</v>
      </c>
      <c r="F110" t="s">
        <v>303</v>
      </c>
      <c r="G110" t="s">
        <v>232</v>
      </c>
      <c r="H110">
        <v>22</v>
      </c>
      <c r="I110">
        <v>27</v>
      </c>
      <c r="J110">
        <v>6</v>
      </c>
      <c r="K110">
        <v>20189.849609375</v>
      </c>
      <c r="L110">
        <v>19686</v>
      </c>
      <c r="M110">
        <v>17750</v>
      </c>
      <c r="N110">
        <v>114</v>
      </c>
    </row>
    <row r="111" spans="1:14" x14ac:dyDescent="0.25">
      <c r="A111">
        <v>109</v>
      </c>
      <c r="B111">
        <v>3836297</v>
      </c>
      <c r="C111">
        <v>200031453</v>
      </c>
      <c r="D111">
        <v>200212894</v>
      </c>
      <c r="E111" t="s">
        <v>219</v>
      </c>
      <c r="F111" t="s">
        <v>304</v>
      </c>
      <c r="G111" t="s">
        <v>221</v>
      </c>
      <c r="H111">
        <v>38</v>
      </c>
      <c r="I111">
        <v>48</v>
      </c>
      <c r="J111">
        <v>9</v>
      </c>
      <c r="K111">
        <v>18509.169921875</v>
      </c>
      <c r="L111">
        <v>15677</v>
      </c>
      <c r="M111">
        <v>15800</v>
      </c>
      <c r="N111">
        <v>117</v>
      </c>
    </row>
    <row r="112" spans="1:14" x14ac:dyDescent="0.25">
      <c r="A112">
        <v>110</v>
      </c>
      <c r="B112">
        <v>3836297</v>
      </c>
      <c r="C112">
        <v>200212894</v>
      </c>
      <c r="D112">
        <v>200031453</v>
      </c>
      <c r="E112" t="s">
        <v>219</v>
      </c>
      <c r="F112" t="s">
        <v>304</v>
      </c>
      <c r="G112" t="s">
        <v>221</v>
      </c>
      <c r="H112">
        <v>38</v>
      </c>
      <c r="I112">
        <v>45</v>
      </c>
      <c r="J112">
        <v>6</v>
      </c>
      <c r="K112">
        <v>16992.8203125</v>
      </c>
      <c r="L112">
        <v>14123</v>
      </c>
      <c r="M112">
        <v>15800</v>
      </c>
      <c r="N112">
        <v>108</v>
      </c>
    </row>
    <row r="113" spans="1:14" x14ac:dyDescent="0.25">
      <c r="A113">
        <v>111</v>
      </c>
      <c r="B113">
        <v>3869226</v>
      </c>
      <c r="C113">
        <v>200031488</v>
      </c>
      <c r="D113">
        <v>200074489</v>
      </c>
      <c r="E113" t="s">
        <v>222</v>
      </c>
      <c r="F113" t="s">
        <v>305</v>
      </c>
      <c r="G113" t="s">
        <v>224</v>
      </c>
      <c r="H113">
        <v>21</v>
      </c>
      <c r="I113">
        <v>26</v>
      </c>
      <c r="J113">
        <v>4</v>
      </c>
      <c r="K113">
        <v>26230.58984375</v>
      </c>
      <c r="L113">
        <v>18877</v>
      </c>
      <c r="M113">
        <v>35000</v>
      </c>
      <c r="N113">
        <v>75</v>
      </c>
    </row>
    <row r="114" spans="1:14" x14ac:dyDescent="0.25">
      <c r="A114">
        <v>112</v>
      </c>
      <c r="B114">
        <v>3876849</v>
      </c>
      <c r="C114">
        <v>200082684</v>
      </c>
      <c r="D114">
        <v>200019154</v>
      </c>
      <c r="E114" t="s">
        <v>225</v>
      </c>
      <c r="F114" t="s">
        <v>306</v>
      </c>
      <c r="G114" t="s">
        <v>224</v>
      </c>
      <c r="H114">
        <v>20</v>
      </c>
      <c r="I114">
        <v>22</v>
      </c>
      <c r="J114">
        <v>1</v>
      </c>
      <c r="K114">
        <v>19377.689453125</v>
      </c>
      <c r="L114">
        <v>14493</v>
      </c>
      <c r="M114">
        <v>35000</v>
      </c>
      <c r="N114">
        <v>55</v>
      </c>
    </row>
    <row r="115" spans="1:14" x14ac:dyDescent="0.25">
      <c r="A115">
        <v>113</v>
      </c>
      <c r="B115">
        <v>3909986</v>
      </c>
      <c r="C115">
        <v>200031453</v>
      </c>
      <c r="D115">
        <v>200068383</v>
      </c>
      <c r="E115" t="s">
        <v>219</v>
      </c>
      <c r="F115" t="s">
        <v>307</v>
      </c>
      <c r="G115" t="s">
        <v>235</v>
      </c>
      <c r="H115">
        <v>9</v>
      </c>
      <c r="I115">
        <v>12</v>
      </c>
      <c r="J115">
        <v>3</v>
      </c>
      <c r="K115">
        <v>18817.55078125</v>
      </c>
      <c r="L115">
        <v>15777</v>
      </c>
      <c r="M115">
        <v>15800</v>
      </c>
      <c r="N115">
        <v>119</v>
      </c>
    </row>
    <row r="116" spans="1:14" x14ac:dyDescent="0.25">
      <c r="A116">
        <v>114</v>
      </c>
      <c r="B116">
        <v>3909986</v>
      </c>
      <c r="C116">
        <v>200068383</v>
      </c>
      <c r="D116">
        <v>200031453</v>
      </c>
      <c r="E116" t="s">
        <v>219</v>
      </c>
      <c r="F116" t="s">
        <v>307</v>
      </c>
      <c r="G116" t="s">
        <v>235</v>
      </c>
      <c r="H116">
        <v>9</v>
      </c>
      <c r="I116">
        <v>10</v>
      </c>
      <c r="J116">
        <v>1</v>
      </c>
      <c r="K116">
        <v>16672.970703125</v>
      </c>
      <c r="L116">
        <v>13626</v>
      </c>
      <c r="M116">
        <v>15800</v>
      </c>
      <c r="N116">
        <v>106</v>
      </c>
    </row>
    <row r="117" spans="1:14" x14ac:dyDescent="0.25">
      <c r="A117">
        <v>115</v>
      </c>
      <c r="B117">
        <v>3984516</v>
      </c>
      <c r="C117">
        <v>200193494</v>
      </c>
      <c r="D117">
        <v>200214298</v>
      </c>
      <c r="E117" t="s">
        <v>240</v>
      </c>
      <c r="F117" t="s">
        <v>308</v>
      </c>
      <c r="G117" t="s">
        <v>232</v>
      </c>
      <c r="H117">
        <v>36</v>
      </c>
      <c r="I117">
        <v>39</v>
      </c>
      <c r="J117">
        <v>4</v>
      </c>
      <c r="K117">
        <v>15679.3798828125</v>
      </c>
      <c r="L117">
        <v>15293</v>
      </c>
      <c r="M117">
        <v>17750</v>
      </c>
      <c r="N117">
        <v>88</v>
      </c>
    </row>
    <row r="118" spans="1:14" x14ac:dyDescent="0.25">
      <c r="A118">
        <v>116</v>
      </c>
      <c r="B118">
        <v>4218497</v>
      </c>
      <c r="C118">
        <v>200196941</v>
      </c>
      <c r="D118">
        <v>200194451</v>
      </c>
      <c r="E118" t="s">
        <v>240</v>
      </c>
      <c r="F118" t="s">
        <v>309</v>
      </c>
      <c r="G118" t="s">
        <v>237</v>
      </c>
      <c r="H118">
        <v>14</v>
      </c>
      <c r="I118">
        <v>15</v>
      </c>
      <c r="J118">
        <v>1</v>
      </c>
      <c r="K118">
        <v>11442.5302734375</v>
      </c>
      <c r="L118">
        <v>11084</v>
      </c>
      <c r="M118">
        <v>15800</v>
      </c>
      <c r="N118">
        <v>72</v>
      </c>
    </row>
    <row r="119" spans="1:14" x14ac:dyDescent="0.25">
      <c r="A119">
        <v>117</v>
      </c>
      <c r="B119">
        <v>4443842</v>
      </c>
      <c r="C119">
        <v>200080747</v>
      </c>
      <c r="D119">
        <v>200074726</v>
      </c>
      <c r="E119" t="s">
        <v>222</v>
      </c>
      <c r="F119" t="s">
        <v>310</v>
      </c>
      <c r="G119" t="s">
        <v>224</v>
      </c>
      <c r="H119">
        <v>20</v>
      </c>
      <c r="I119">
        <v>22</v>
      </c>
      <c r="J119">
        <v>1</v>
      </c>
      <c r="K119">
        <v>20598.759765625</v>
      </c>
      <c r="L119">
        <v>15249</v>
      </c>
      <c r="M119">
        <v>35000</v>
      </c>
      <c r="N119">
        <v>59</v>
      </c>
    </row>
    <row r="120" spans="1:14" x14ac:dyDescent="0.25">
      <c r="A120">
        <v>118</v>
      </c>
      <c r="B120">
        <v>4695977</v>
      </c>
      <c r="C120">
        <v>200029513</v>
      </c>
      <c r="D120">
        <v>200206100</v>
      </c>
      <c r="E120" t="s">
        <v>247</v>
      </c>
      <c r="F120" t="s">
        <v>311</v>
      </c>
      <c r="G120" t="s">
        <v>235</v>
      </c>
      <c r="H120">
        <v>44</v>
      </c>
      <c r="I120">
        <v>47</v>
      </c>
      <c r="J120">
        <v>3</v>
      </c>
      <c r="K120">
        <v>5768.08984375</v>
      </c>
      <c r="L120">
        <v>5679</v>
      </c>
      <c r="M120">
        <v>7800</v>
      </c>
      <c r="N120">
        <v>74</v>
      </c>
    </row>
    <row r="121" spans="1:14" x14ac:dyDescent="0.25">
      <c r="A121">
        <v>119</v>
      </c>
      <c r="B121">
        <v>4695977</v>
      </c>
      <c r="C121">
        <v>200206100</v>
      </c>
      <c r="D121">
        <v>200029513</v>
      </c>
      <c r="E121" t="s">
        <v>247</v>
      </c>
      <c r="F121" t="s">
        <v>311</v>
      </c>
      <c r="G121" t="s">
        <v>235</v>
      </c>
      <c r="H121">
        <v>44</v>
      </c>
      <c r="I121">
        <v>45</v>
      </c>
      <c r="J121">
        <v>1</v>
      </c>
      <c r="K121">
        <v>4042.64990234375</v>
      </c>
      <c r="L121">
        <v>3955</v>
      </c>
      <c r="M121">
        <v>7800</v>
      </c>
      <c r="N121">
        <v>52</v>
      </c>
    </row>
    <row r="122" spans="1:14" x14ac:dyDescent="0.25">
      <c r="A122">
        <v>120</v>
      </c>
      <c r="B122">
        <v>4886024</v>
      </c>
      <c r="C122">
        <v>200076049</v>
      </c>
      <c r="D122">
        <v>200198863</v>
      </c>
      <c r="E122" t="s">
        <v>288</v>
      </c>
      <c r="F122" t="s">
        <v>258</v>
      </c>
      <c r="G122" t="s">
        <v>275</v>
      </c>
      <c r="H122">
        <v>36</v>
      </c>
      <c r="I122">
        <v>39</v>
      </c>
      <c r="J122">
        <v>3</v>
      </c>
      <c r="K122">
        <v>5198.9599609375</v>
      </c>
      <c r="L122">
        <v>5023</v>
      </c>
      <c r="M122">
        <v>7100</v>
      </c>
      <c r="N122">
        <v>73</v>
      </c>
    </row>
    <row r="123" spans="1:14" x14ac:dyDescent="0.25">
      <c r="A123">
        <v>121</v>
      </c>
      <c r="B123">
        <v>4886024</v>
      </c>
      <c r="C123">
        <v>200198863</v>
      </c>
      <c r="D123">
        <v>200076049</v>
      </c>
      <c r="E123" t="s">
        <v>288</v>
      </c>
      <c r="F123" t="s">
        <v>258</v>
      </c>
      <c r="G123" t="s">
        <v>275</v>
      </c>
      <c r="H123">
        <v>36</v>
      </c>
      <c r="I123">
        <v>38</v>
      </c>
      <c r="J123">
        <v>2</v>
      </c>
      <c r="K123">
        <v>4339.93017578125</v>
      </c>
      <c r="L123">
        <v>4194</v>
      </c>
      <c r="M123">
        <v>7100</v>
      </c>
      <c r="N123">
        <v>61</v>
      </c>
    </row>
    <row r="124" spans="1:14" x14ac:dyDescent="0.25">
      <c r="A124">
        <v>122</v>
      </c>
      <c r="B124">
        <v>4926897</v>
      </c>
      <c r="C124">
        <v>200024300</v>
      </c>
      <c r="D124">
        <v>200198873</v>
      </c>
      <c r="E124" t="s">
        <v>240</v>
      </c>
      <c r="F124" t="s">
        <v>312</v>
      </c>
      <c r="G124" t="s">
        <v>237</v>
      </c>
      <c r="H124">
        <v>57</v>
      </c>
      <c r="I124">
        <v>59</v>
      </c>
      <c r="J124">
        <v>3</v>
      </c>
      <c r="K124">
        <v>10703.8701171875</v>
      </c>
      <c r="L124">
        <v>10313</v>
      </c>
      <c r="M124">
        <v>15800</v>
      </c>
      <c r="N124">
        <v>68</v>
      </c>
    </row>
    <row r="125" spans="1:14" x14ac:dyDescent="0.25">
      <c r="A125">
        <v>123</v>
      </c>
      <c r="B125">
        <v>5095332</v>
      </c>
      <c r="C125">
        <v>200203651</v>
      </c>
      <c r="D125">
        <v>200212894</v>
      </c>
      <c r="E125" t="s">
        <v>219</v>
      </c>
      <c r="F125" t="s">
        <v>313</v>
      </c>
      <c r="G125" t="s">
        <v>221</v>
      </c>
      <c r="H125">
        <v>81</v>
      </c>
      <c r="I125">
        <v>92</v>
      </c>
      <c r="J125">
        <v>11</v>
      </c>
      <c r="K125">
        <v>15978.5498046875</v>
      </c>
      <c r="L125">
        <v>13241</v>
      </c>
      <c r="M125">
        <v>15800</v>
      </c>
      <c r="N125">
        <v>101</v>
      </c>
    </row>
    <row r="126" spans="1:14" x14ac:dyDescent="0.25">
      <c r="A126">
        <v>124</v>
      </c>
      <c r="B126">
        <v>5095332</v>
      </c>
      <c r="C126">
        <v>200212894</v>
      </c>
      <c r="D126">
        <v>200203651</v>
      </c>
      <c r="E126" t="s">
        <v>219</v>
      </c>
      <c r="F126" t="s">
        <v>313</v>
      </c>
      <c r="G126" t="s">
        <v>221</v>
      </c>
      <c r="H126">
        <v>81</v>
      </c>
      <c r="I126">
        <v>98</v>
      </c>
      <c r="J126">
        <v>17</v>
      </c>
      <c r="K126">
        <v>18118.4609375</v>
      </c>
      <c r="L126">
        <v>15354</v>
      </c>
      <c r="M126">
        <v>15800</v>
      </c>
      <c r="N126">
        <v>115</v>
      </c>
    </row>
    <row r="127" spans="1:14" x14ac:dyDescent="0.25">
      <c r="A127">
        <v>125</v>
      </c>
      <c r="B127">
        <v>5355611</v>
      </c>
      <c r="C127">
        <v>200030818</v>
      </c>
      <c r="D127">
        <v>200031488</v>
      </c>
      <c r="E127" t="s">
        <v>222</v>
      </c>
      <c r="F127" t="s">
        <v>314</v>
      </c>
      <c r="G127" t="s">
        <v>224</v>
      </c>
      <c r="H127">
        <v>63</v>
      </c>
      <c r="I127">
        <v>103</v>
      </c>
      <c r="J127">
        <v>39</v>
      </c>
      <c r="K127">
        <v>30575.580078125</v>
      </c>
      <c r="L127">
        <v>23027</v>
      </c>
      <c r="M127">
        <v>35000</v>
      </c>
      <c r="N127">
        <v>87</v>
      </c>
    </row>
    <row r="128" spans="1:14" x14ac:dyDescent="0.25">
      <c r="A128">
        <v>126</v>
      </c>
      <c r="B128">
        <v>5374046</v>
      </c>
      <c r="C128">
        <v>200018857</v>
      </c>
      <c r="D128">
        <v>200077423</v>
      </c>
      <c r="E128" t="s">
        <v>225</v>
      </c>
      <c r="F128" t="s">
        <v>315</v>
      </c>
      <c r="G128" t="s">
        <v>224</v>
      </c>
      <c r="H128">
        <v>26</v>
      </c>
      <c r="I128">
        <v>29</v>
      </c>
      <c r="J128">
        <v>2</v>
      </c>
      <c r="K128">
        <v>19683.080078125</v>
      </c>
      <c r="L128">
        <v>14563</v>
      </c>
      <c r="M128">
        <v>35000</v>
      </c>
      <c r="N128">
        <v>56</v>
      </c>
    </row>
    <row r="129" spans="1:14" x14ac:dyDescent="0.25">
      <c r="A129">
        <v>127</v>
      </c>
      <c r="B129">
        <v>5635916</v>
      </c>
      <c r="C129">
        <v>200205103</v>
      </c>
      <c r="D129">
        <v>200198064</v>
      </c>
      <c r="E129" t="s">
        <v>240</v>
      </c>
      <c r="F129" t="s">
        <v>316</v>
      </c>
      <c r="G129" t="s">
        <v>237</v>
      </c>
      <c r="H129">
        <v>9</v>
      </c>
      <c r="I129">
        <v>10</v>
      </c>
      <c r="J129">
        <v>1</v>
      </c>
      <c r="K129">
        <v>16316.23046875</v>
      </c>
      <c r="L129">
        <v>15766</v>
      </c>
      <c r="M129">
        <v>17750</v>
      </c>
      <c r="N129">
        <v>92</v>
      </c>
    </row>
    <row r="130" spans="1:14" x14ac:dyDescent="0.25">
      <c r="A130">
        <v>128</v>
      </c>
      <c r="B130">
        <v>5645399</v>
      </c>
      <c r="C130">
        <v>200192827</v>
      </c>
      <c r="D130">
        <v>200198612</v>
      </c>
      <c r="E130" t="s">
        <v>286</v>
      </c>
      <c r="F130" t="s">
        <v>302</v>
      </c>
      <c r="G130" t="s">
        <v>275</v>
      </c>
      <c r="H130">
        <v>25</v>
      </c>
      <c r="I130">
        <v>27</v>
      </c>
      <c r="J130">
        <v>2</v>
      </c>
      <c r="K130">
        <v>5579.85009765625</v>
      </c>
      <c r="L130">
        <v>5429</v>
      </c>
      <c r="M130">
        <v>7100</v>
      </c>
      <c r="N130">
        <v>79</v>
      </c>
    </row>
    <row r="131" spans="1:14" x14ac:dyDescent="0.25">
      <c r="A131">
        <v>129</v>
      </c>
      <c r="B131">
        <v>5645399</v>
      </c>
      <c r="C131">
        <v>200198612</v>
      </c>
      <c r="D131">
        <v>200192827</v>
      </c>
      <c r="E131" t="s">
        <v>286</v>
      </c>
      <c r="F131" t="s">
        <v>302</v>
      </c>
      <c r="G131" t="s">
        <v>275</v>
      </c>
      <c r="H131">
        <v>25</v>
      </c>
      <c r="I131">
        <v>27</v>
      </c>
      <c r="J131">
        <v>2</v>
      </c>
      <c r="K131">
        <v>5543.0400390625</v>
      </c>
      <c r="L131">
        <v>5384</v>
      </c>
      <c r="M131">
        <v>7100</v>
      </c>
      <c r="N131">
        <v>78</v>
      </c>
    </row>
    <row r="132" spans="1:14" x14ac:dyDescent="0.25">
      <c r="A132">
        <v>130</v>
      </c>
      <c r="B132">
        <v>5804774</v>
      </c>
      <c r="C132">
        <v>200194730</v>
      </c>
      <c r="D132">
        <v>200202405</v>
      </c>
      <c r="E132" t="s">
        <v>240</v>
      </c>
      <c r="F132" t="s">
        <v>317</v>
      </c>
      <c r="G132" t="s">
        <v>237</v>
      </c>
      <c r="H132">
        <v>30</v>
      </c>
      <c r="I132">
        <v>33</v>
      </c>
      <c r="J132">
        <v>3</v>
      </c>
      <c r="K132">
        <v>16152.759765625</v>
      </c>
      <c r="L132">
        <v>15561</v>
      </c>
      <c r="M132">
        <v>17750</v>
      </c>
      <c r="N132">
        <v>91</v>
      </c>
    </row>
    <row r="133" spans="1:14" x14ac:dyDescent="0.25">
      <c r="A133">
        <v>131</v>
      </c>
      <c r="B133">
        <v>6005871</v>
      </c>
      <c r="C133">
        <v>200211959</v>
      </c>
      <c r="D133">
        <v>200193255</v>
      </c>
      <c r="E133" t="s">
        <v>240</v>
      </c>
      <c r="F133" t="s">
        <v>318</v>
      </c>
      <c r="G133" t="s">
        <v>232</v>
      </c>
      <c r="H133">
        <v>17</v>
      </c>
      <c r="I133">
        <v>19</v>
      </c>
      <c r="J133">
        <v>2</v>
      </c>
      <c r="K133">
        <v>18970.75</v>
      </c>
      <c r="L133">
        <v>18359</v>
      </c>
      <c r="M133">
        <v>19900</v>
      </c>
      <c r="N133">
        <v>95</v>
      </c>
    </row>
    <row r="134" spans="1:14" x14ac:dyDescent="0.25">
      <c r="A134">
        <v>132</v>
      </c>
      <c r="B134">
        <v>6234192</v>
      </c>
      <c r="C134">
        <v>200028133</v>
      </c>
      <c r="D134">
        <v>200077423</v>
      </c>
      <c r="E134" t="s">
        <v>213</v>
      </c>
      <c r="F134" t="s">
        <v>319</v>
      </c>
      <c r="G134" t="s">
        <v>235</v>
      </c>
      <c r="H134">
        <v>28</v>
      </c>
      <c r="I134">
        <v>28</v>
      </c>
      <c r="J134">
        <v>0</v>
      </c>
      <c r="K134">
        <v>1183.420043945312</v>
      </c>
      <c r="L134">
        <v>1180</v>
      </c>
      <c r="M134">
        <v>10000</v>
      </c>
      <c r="N134">
        <v>12</v>
      </c>
    </row>
    <row r="135" spans="1:14" x14ac:dyDescent="0.25">
      <c r="A135">
        <v>133</v>
      </c>
      <c r="B135">
        <v>6287816</v>
      </c>
      <c r="C135">
        <v>200027735</v>
      </c>
      <c r="D135">
        <v>200019836</v>
      </c>
      <c r="E135" t="s">
        <v>228</v>
      </c>
      <c r="F135" t="s">
        <v>320</v>
      </c>
      <c r="G135" t="s">
        <v>224</v>
      </c>
      <c r="H135">
        <v>63</v>
      </c>
      <c r="I135">
        <v>66</v>
      </c>
      <c r="J135">
        <v>2</v>
      </c>
      <c r="K135">
        <v>14821.150390625</v>
      </c>
      <c r="L135">
        <v>12663</v>
      </c>
      <c r="M135">
        <v>33000</v>
      </c>
      <c r="N135">
        <v>45</v>
      </c>
    </row>
    <row r="136" spans="1:14" x14ac:dyDescent="0.25">
      <c r="A136">
        <v>134</v>
      </c>
      <c r="B136">
        <v>6334947</v>
      </c>
      <c r="C136">
        <v>200018361</v>
      </c>
      <c r="D136">
        <v>200198863</v>
      </c>
      <c r="E136" t="s">
        <v>273</v>
      </c>
      <c r="F136" t="s">
        <v>321</v>
      </c>
      <c r="G136" t="s">
        <v>275</v>
      </c>
      <c r="H136">
        <v>63</v>
      </c>
      <c r="I136">
        <v>63</v>
      </c>
      <c r="J136">
        <v>0</v>
      </c>
      <c r="K136">
        <v>956.69000244140625</v>
      </c>
      <c r="L136">
        <v>936</v>
      </c>
      <c r="M136">
        <v>7100</v>
      </c>
      <c r="N136">
        <v>13</v>
      </c>
    </row>
    <row r="137" spans="1:14" x14ac:dyDescent="0.25">
      <c r="A137">
        <v>135</v>
      </c>
      <c r="B137">
        <v>6334947</v>
      </c>
      <c r="C137">
        <v>200198863</v>
      </c>
      <c r="D137">
        <v>200018361</v>
      </c>
      <c r="E137" t="s">
        <v>273</v>
      </c>
      <c r="F137" t="s">
        <v>321</v>
      </c>
      <c r="G137" t="s">
        <v>275</v>
      </c>
      <c r="H137">
        <v>63</v>
      </c>
      <c r="I137">
        <v>63</v>
      </c>
      <c r="J137">
        <v>0</v>
      </c>
      <c r="K137">
        <v>1273.839965820312</v>
      </c>
      <c r="L137">
        <v>1248</v>
      </c>
      <c r="M137">
        <v>7100</v>
      </c>
      <c r="N137">
        <v>18</v>
      </c>
    </row>
    <row r="138" spans="1:14" x14ac:dyDescent="0.25">
      <c r="A138">
        <v>136</v>
      </c>
      <c r="B138">
        <v>6378887</v>
      </c>
      <c r="C138">
        <v>200080392</v>
      </c>
      <c r="D138">
        <v>200019521</v>
      </c>
      <c r="E138" t="s">
        <v>225</v>
      </c>
      <c r="F138" t="s">
        <v>322</v>
      </c>
      <c r="G138" t="s">
        <v>224</v>
      </c>
      <c r="H138">
        <v>79</v>
      </c>
      <c r="I138">
        <v>116</v>
      </c>
      <c r="J138">
        <v>34</v>
      </c>
      <c r="K138">
        <v>29284.240234375</v>
      </c>
      <c r="L138">
        <v>21948</v>
      </c>
      <c r="M138">
        <v>35000</v>
      </c>
      <c r="N138">
        <v>84</v>
      </c>
    </row>
    <row r="139" spans="1:14" x14ac:dyDescent="0.25">
      <c r="A139">
        <v>137</v>
      </c>
      <c r="B139">
        <v>6392441</v>
      </c>
      <c r="C139">
        <v>200031840</v>
      </c>
      <c r="D139">
        <v>200022851</v>
      </c>
      <c r="E139" t="s">
        <v>291</v>
      </c>
      <c r="F139" t="s">
        <v>323</v>
      </c>
      <c r="G139" t="s">
        <v>224</v>
      </c>
      <c r="H139">
        <v>31</v>
      </c>
      <c r="I139">
        <v>32</v>
      </c>
      <c r="J139">
        <v>1</v>
      </c>
      <c r="K139">
        <v>10854.6298828125</v>
      </c>
      <c r="L139">
        <v>8932</v>
      </c>
      <c r="M139">
        <v>33000</v>
      </c>
      <c r="N139">
        <v>33</v>
      </c>
    </row>
    <row r="140" spans="1:14" x14ac:dyDescent="0.25">
      <c r="A140">
        <v>138</v>
      </c>
      <c r="B140">
        <v>6402617</v>
      </c>
      <c r="C140">
        <v>200024773</v>
      </c>
      <c r="D140">
        <v>200082684</v>
      </c>
      <c r="E140" t="s">
        <v>225</v>
      </c>
      <c r="F140" t="s">
        <v>324</v>
      </c>
      <c r="G140" t="s">
        <v>224</v>
      </c>
      <c r="H140">
        <v>33</v>
      </c>
      <c r="I140">
        <v>36</v>
      </c>
      <c r="J140">
        <v>3</v>
      </c>
      <c r="K140">
        <v>20866.490234375</v>
      </c>
      <c r="L140">
        <v>15744</v>
      </c>
      <c r="M140">
        <v>35000</v>
      </c>
      <c r="N140">
        <v>60</v>
      </c>
    </row>
    <row r="141" spans="1:14" x14ac:dyDescent="0.25">
      <c r="A141">
        <v>139</v>
      </c>
      <c r="B141">
        <v>6566657</v>
      </c>
      <c r="C141">
        <v>200016938</v>
      </c>
      <c r="D141">
        <v>200080399</v>
      </c>
      <c r="E141" t="s">
        <v>325</v>
      </c>
      <c r="F141" t="s">
        <v>326</v>
      </c>
      <c r="G141" t="s">
        <v>235</v>
      </c>
      <c r="H141">
        <v>5</v>
      </c>
      <c r="I141">
        <v>5</v>
      </c>
      <c r="J141">
        <v>0</v>
      </c>
      <c r="K141">
        <v>4749.330078125</v>
      </c>
      <c r="L141">
        <v>4560</v>
      </c>
      <c r="M141">
        <v>6500</v>
      </c>
      <c r="N141">
        <v>73</v>
      </c>
    </row>
    <row r="142" spans="1:14" x14ac:dyDescent="0.25">
      <c r="A142">
        <v>140</v>
      </c>
      <c r="B142">
        <v>6566657</v>
      </c>
      <c r="C142">
        <v>200080399</v>
      </c>
      <c r="D142">
        <v>200016938</v>
      </c>
      <c r="E142" t="s">
        <v>325</v>
      </c>
      <c r="F142" t="s">
        <v>326</v>
      </c>
      <c r="G142" t="s">
        <v>235</v>
      </c>
      <c r="H142">
        <v>5</v>
      </c>
      <c r="I142">
        <v>5</v>
      </c>
      <c r="J142">
        <v>0</v>
      </c>
      <c r="K142">
        <v>1349.5400390625</v>
      </c>
      <c r="L142">
        <v>1268</v>
      </c>
      <c r="M142">
        <v>6500</v>
      </c>
      <c r="N142">
        <v>21</v>
      </c>
    </row>
    <row r="143" spans="1:14" x14ac:dyDescent="0.25">
      <c r="A143">
        <v>141</v>
      </c>
      <c r="B143">
        <v>6736491</v>
      </c>
      <c r="C143">
        <v>200215436</v>
      </c>
      <c r="D143">
        <v>200215536</v>
      </c>
      <c r="E143" t="s">
        <v>327</v>
      </c>
      <c r="F143" t="s">
        <v>328</v>
      </c>
      <c r="G143" t="s">
        <v>221</v>
      </c>
      <c r="H143">
        <v>81</v>
      </c>
      <c r="I143">
        <v>83</v>
      </c>
      <c r="J143">
        <v>2</v>
      </c>
      <c r="K143">
        <v>3246.2099609375</v>
      </c>
      <c r="L143">
        <v>2692</v>
      </c>
      <c r="M143">
        <v>6500</v>
      </c>
      <c r="N143">
        <v>50</v>
      </c>
    </row>
    <row r="144" spans="1:14" x14ac:dyDescent="0.25">
      <c r="A144">
        <v>142</v>
      </c>
      <c r="B144">
        <v>6736491</v>
      </c>
      <c r="C144">
        <v>200215536</v>
      </c>
      <c r="D144">
        <v>200215436</v>
      </c>
      <c r="E144" t="s">
        <v>327</v>
      </c>
      <c r="F144" t="s">
        <v>328</v>
      </c>
      <c r="G144" t="s">
        <v>221</v>
      </c>
      <c r="H144">
        <v>81</v>
      </c>
      <c r="I144">
        <v>84</v>
      </c>
      <c r="J144">
        <v>3</v>
      </c>
      <c r="K144">
        <v>3427.2900390625</v>
      </c>
      <c r="L144">
        <v>2847</v>
      </c>
      <c r="M144">
        <v>6500</v>
      </c>
      <c r="N144">
        <v>53</v>
      </c>
    </row>
    <row r="145" spans="1:14" x14ac:dyDescent="0.25">
      <c r="A145">
        <v>143</v>
      </c>
      <c r="B145">
        <v>6785456</v>
      </c>
      <c r="C145">
        <v>200192878</v>
      </c>
      <c r="D145">
        <v>200212588</v>
      </c>
      <c r="E145" t="s">
        <v>240</v>
      </c>
      <c r="F145" t="s">
        <v>329</v>
      </c>
      <c r="G145" t="s">
        <v>232</v>
      </c>
      <c r="H145">
        <v>36</v>
      </c>
      <c r="I145">
        <v>41</v>
      </c>
      <c r="J145">
        <v>5</v>
      </c>
      <c r="K145">
        <v>16946.55078125</v>
      </c>
      <c r="L145">
        <v>16505</v>
      </c>
      <c r="M145">
        <v>17750</v>
      </c>
      <c r="N145">
        <v>95</v>
      </c>
    </row>
    <row r="146" spans="1:14" x14ac:dyDescent="0.25">
      <c r="A146">
        <v>144</v>
      </c>
      <c r="B146">
        <v>6912266</v>
      </c>
      <c r="C146">
        <v>200068383</v>
      </c>
      <c r="D146">
        <v>200215436</v>
      </c>
      <c r="E146" t="s">
        <v>219</v>
      </c>
      <c r="F146" t="s">
        <v>378</v>
      </c>
      <c r="G146" t="s">
        <v>235</v>
      </c>
      <c r="H146">
        <v>27</v>
      </c>
      <c r="I146">
        <v>30</v>
      </c>
      <c r="J146">
        <v>3</v>
      </c>
      <c r="K146">
        <v>15397.5</v>
      </c>
      <c r="L146">
        <v>12568</v>
      </c>
      <c r="M146">
        <v>15800</v>
      </c>
      <c r="N146">
        <v>97</v>
      </c>
    </row>
    <row r="147" spans="1:14" x14ac:dyDescent="0.25">
      <c r="A147">
        <v>145</v>
      </c>
      <c r="B147">
        <v>6912266</v>
      </c>
      <c r="C147">
        <v>200215436</v>
      </c>
      <c r="D147">
        <v>200068383</v>
      </c>
      <c r="E147" t="s">
        <v>219</v>
      </c>
      <c r="F147" t="s">
        <v>378</v>
      </c>
      <c r="G147" t="s">
        <v>235</v>
      </c>
      <c r="H147">
        <v>27</v>
      </c>
      <c r="I147">
        <v>52</v>
      </c>
      <c r="J147">
        <v>25</v>
      </c>
      <c r="K147">
        <v>21978.509765625</v>
      </c>
      <c r="L147">
        <v>18204</v>
      </c>
      <c r="M147">
        <v>15800</v>
      </c>
      <c r="N147">
        <v>139</v>
      </c>
    </row>
    <row r="148" spans="1:14" x14ac:dyDescent="0.25">
      <c r="A148">
        <v>146</v>
      </c>
      <c r="B148">
        <v>6986837</v>
      </c>
      <c r="C148">
        <v>200198873</v>
      </c>
      <c r="D148">
        <v>200194730</v>
      </c>
      <c r="E148" t="s">
        <v>240</v>
      </c>
      <c r="F148" t="s">
        <v>330</v>
      </c>
      <c r="G148" t="s">
        <v>237</v>
      </c>
      <c r="H148">
        <v>16</v>
      </c>
      <c r="I148">
        <v>17</v>
      </c>
      <c r="J148">
        <v>1</v>
      </c>
      <c r="K148">
        <v>11749.9501953125</v>
      </c>
      <c r="L148">
        <v>11310</v>
      </c>
      <c r="M148">
        <v>15800</v>
      </c>
      <c r="N148">
        <v>74</v>
      </c>
    </row>
    <row r="149" spans="1:14" x14ac:dyDescent="0.25">
      <c r="A149">
        <v>147</v>
      </c>
      <c r="B149">
        <v>7008224</v>
      </c>
      <c r="C149">
        <v>200203054</v>
      </c>
      <c r="D149">
        <v>200193494</v>
      </c>
      <c r="E149" t="s">
        <v>240</v>
      </c>
      <c r="F149" t="s">
        <v>331</v>
      </c>
      <c r="G149" t="s">
        <v>232</v>
      </c>
      <c r="H149">
        <v>52</v>
      </c>
      <c r="I149">
        <v>62</v>
      </c>
      <c r="J149">
        <v>10</v>
      </c>
      <c r="K149">
        <v>19188.560546875</v>
      </c>
      <c r="L149">
        <v>18716</v>
      </c>
      <c r="M149">
        <v>17750</v>
      </c>
      <c r="N149">
        <v>108</v>
      </c>
    </row>
    <row r="150" spans="1:14" x14ac:dyDescent="0.25">
      <c r="A150">
        <v>148</v>
      </c>
      <c r="B150">
        <v>7033221</v>
      </c>
      <c r="C150">
        <v>200193494</v>
      </c>
      <c r="D150">
        <v>200200596</v>
      </c>
      <c r="E150" t="s">
        <v>250</v>
      </c>
      <c r="F150" t="s">
        <v>332</v>
      </c>
      <c r="G150" t="s">
        <v>221</v>
      </c>
      <c r="H150">
        <v>43</v>
      </c>
      <c r="I150">
        <v>43</v>
      </c>
      <c r="J150">
        <v>0</v>
      </c>
      <c r="K150">
        <v>774.59002685546875</v>
      </c>
      <c r="L150">
        <v>732</v>
      </c>
      <c r="M150">
        <v>6500</v>
      </c>
      <c r="N150">
        <v>12</v>
      </c>
    </row>
    <row r="151" spans="1:14" x14ac:dyDescent="0.25">
      <c r="A151">
        <v>149</v>
      </c>
      <c r="B151">
        <v>7033221</v>
      </c>
      <c r="C151">
        <v>200200596</v>
      </c>
      <c r="D151">
        <v>200193494</v>
      </c>
      <c r="E151" t="s">
        <v>250</v>
      </c>
      <c r="F151" t="s">
        <v>332</v>
      </c>
      <c r="G151" t="s">
        <v>221</v>
      </c>
      <c r="H151">
        <v>43</v>
      </c>
      <c r="I151">
        <v>43</v>
      </c>
      <c r="J151">
        <v>0</v>
      </c>
      <c r="K151">
        <v>508.72000122070313</v>
      </c>
      <c r="L151">
        <v>489</v>
      </c>
      <c r="M151">
        <v>6500</v>
      </c>
      <c r="N151">
        <v>8</v>
      </c>
    </row>
    <row r="152" spans="1:14" x14ac:dyDescent="0.25">
      <c r="A152">
        <v>150</v>
      </c>
      <c r="B152">
        <v>7040372</v>
      </c>
      <c r="C152">
        <v>200079969</v>
      </c>
      <c r="D152">
        <v>200027735</v>
      </c>
      <c r="E152" t="s">
        <v>228</v>
      </c>
      <c r="F152" t="s">
        <v>333</v>
      </c>
      <c r="G152" t="s">
        <v>224</v>
      </c>
      <c r="H152">
        <v>31</v>
      </c>
      <c r="I152">
        <v>33</v>
      </c>
      <c r="J152">
        <v>1</v>
      </c>
      <c r="K152">
        <v>13871.1904296875</v>
      </c>
      <c r="L152">
        <v>11934</v>
      </c>
      <c r="M152">
        <v>35000</v>
      </c>
      <c r="N152">
        <v>40</v>
      </c>
    </row>
    <row r="153" spans="1:14" x14ac:dyDescent="0.25">
      <c r="A153">
        <v>151</v>
      </c>
      <c r="B153">
        <v>7122896</v>
      </c>
      <c r="C153">
        <v>200208482</v>
      </c>
      <c r="D153">
        <v>200215790</v>
      </c>
      <c r="E153" t="s">
        <v>240</v>
      </c>
      <c r="F153" t="s">
        <v>334</v>
      </c>
      <c r="G153" t="s">
        <v>232</v>
      </c>
      <c r="H153">
        <v>6</v>
      </c>
      <c r="I153">
        <v>7</v>
      </c>
      <c r="J153">
        <v>1</v>
      </c>
      <c r="K153">
        <v>20559.060546875</v>
      </c>
      <c r="L153">
        <v>18873</v>
      </c>
      <c r="M153">
        <v>19900</v>
      </c>
      <c r="N153">
        <v>103</v>
      </c>
    </row>
    <row r="154" spans="1:14" x14ac:dyDescent="0.25">
      <c r="A154">
        <v>152</v>
      </c>
      <c r="B154">
        <v>7177001</v>
      </c>
      <c r="C154">
        <v>200202494</v>
      </c>
      <c r="D154">
        <v>200211673</v>
      </c>
      <c r="E154" t="s">
        <v>240</v>
      </c>
      <c r="F154" t="s">
        <v>304</v>
      </c>
      <c r="G154" t="s">
        <v>232</v>
      </c>
      <c r="H154">
        <v>29</v>
      </c>
      <c r="I154">
        <v>36</v>
      </c>
      <c r="J154">
        <v>8</v>
      </c>
      <c r="K154">
        <v>20198.419921875</v>
      </c>
      <c r="L154">
        <v>19695</v>
      </c>
      <c r="M154">
        <v>17750</v>
      </c>
      <c r="N154">
        <v>114</v>
      </c>
    </row>
    <row r="155" spans="1:14" x14ac:dyDescent="0.25">
      <c r="A155">
        <v>153</v>
      </c>
      <c r="B155">
        <v>7187849</v>
      </c>
      <c r="C155">
        <v>200206427</v>
      </c>
      <c r="D155">
        <v>200209406</v>
      </c>
      <c r="E155" t="s">
        <v>266</v>
      </c>
      <c r="F155" t="s">
        <v>335</v>
      </c>
      <c r="G155" t="s">
        <v>244</v>
      </c>
      <c r="H155">
        <v>65</v>
      </c>
      <c r="I155">
        <v>65</v>
      </c>
      <c r="J155">
        <v>1</v>
      </c>
      <c r="K155">
        <v>2000.7900390625</v>
      </c>
      <c r="L155">
        <v>1951</v>
      </c>
      <c r="M155">
        <v>7100</v>
      </c>
      <c r="N155">
        <v>28</v>
      </c>
    </row>
    <row r="156" spans="1:14" x14ac:dyDescent="0.25">
      <c r="A156">
        <v>154</v>
      </c>
      <c r="B156">
        <v>7187849</v>
      </c>
      <c r="C156">
        <v>200209406</v>
      </c>
      <c r="D156">
        <v>200206427</v>
      </c>
      <c r="E156" t="s">
        <v>266</v>
      </c>
      <c r="F156" t="s">
        <v>335</v>
      </c>
      <c r="G156" t="s">
        <v>244</v>
      </c>
      <c r="H156">
        <v>65</v>
      </c>
      <c r="I156">
        <v>65</v>
      </c>
      <c r="J156">
        <v>1</v>
      </c>
      <c r="K156">
        <v>1667.489990234375</v>
      </c>
      <c r="L156">
        <v>1622</v>
      </c>
      <c r="M156">
        <v>7100</v>
      </c>
      <c r="N156">
        <v>23</v>
      </c>
    </row>
    <row r="157" spans="1:14" x14ac:dyDescent="0.25">
      <c r="A157">
        <v>155</v>
      </c>
      <c r="B157">
        <v>7274957</v>
      </c>
      <c r="C157">
        <v>200025501</v>
      </c>
      <c r="D157">
        <v>200031840</v>
      </c>
      <c r="E157" t="s">
        <v>291</v>
      </c>
      <c r="F157" t="s">
        <v>336</v>
      </c>
      <c r="G157" t="s">
        <v>224</v>
      </c>
      <c r="H157">
        <v>68</v>
      </c>
      <c r="I157">
        <v>70</v>
      </c>
      <c r="J157">
        <v>1</v>
      </c>
      <c r="K157">
        <v>11583.2998046875</v>
      </c>
      <c r="L157">
        <v>9359</v>
      </c>
      <c r="M157">
        <v>35000</v>
      </c>
      <c r="N157">
        <v>33</v>
      </c>
    </row>
    <row r="158" spans="1:14" x14ac:dyDescent="0.25">
      <c r="A158">
        <v>156</v>
      </c>
      <c r="B158">
        <v>7329692</v>
      </c>
      <c r="C158">
        <v>200202110</v>
      </c>
      <c r="D158">
        <v>200215735</v>
      </c>
      <c r="E158" t="s">
        <v>265</v>
      </c>
      <c r="F158" t="s">
        <v>337</v>
      </c>
      <c r="G158" t="s">
        <v>221</v>
      </c>
      <c r="H158">
        <v>59</v>
      </c>
      <c r="I158">
        <v>64</v>
      </c>
      <c r="J158">
        <v>5</v>
      </c>
      <c r="K158">
        <v>5532.6298828125</v>
      </c>
      <c r="L158">
        <v>5387</v>
      </c>
      <c r="M158">
        <v>7100</v>
      </c>
      <c r="N158">
        <v>78</v>
      </c>
    </row>
    <row r="159" spans="1:14" x14ac:dyDescent="0.25">
      <c r="A159">
        <v>157</v>
      </c>
      <c r="B159">
        <v>7329692</v>
      </c>
      <c r="C159">
        <v>200215735</v>
      </c>
      <c r="D159">
        <v>200202110</v>
      </c>
      <c r="E159" t="s">
        <v>265</v>
      </c>
      <c r="F159" t="s">
        <v>337</v>
      </c>
      <c r="G159" t="s">
        <v>221</v>
      </c>
      <c r="H159">
        <v>59</v>
      </c>
      <c r="I159">
        <v>65</v>
      </c>
      <c r="J159">
        <v>6</v>
      </c>
      <c r="K159">
        <v>6067.83984375</v>
      </c>
      <c r="L159">
        <v>5918</v>
      </c>
      <c r="M159">
        <v>7100</v>
      </c>
      <c r="N159">
        <v>85</v>
      </c>
    </row>
    <row r="160" spans="1:14" x14ac:dyDescent="0.25">
      <c r="A160">
        <v>158</v>
      </c>
      <c r="B160">
        <v>7443524</v>
      </c>
      <c r="C160">
        <v>200028166</v>
      </c>
      <c r="D160">
        <v>200080747</v>
      </c>
      <c r="E160" t="s">
        <v>222</v>
      </c>
      <c r="F160" t="s">
        <v>338</v>
      </c>
      <c r="G160" t="s">
        <v>224</v>
      </c>
      <c r="H160">
        <v>53</v>
      </c>
      <c r="I160">
        <v>60</v>
      </c>
      <c r="J160">
        <v>6</v>
      </c>
      <c r="K160">
        <v>22580.890625</v>
      </c>
      <c r="L160">
        <v>17223</v>
      </c>
      <c r="M160">
        <v>35000</v>
      </c>
      <c r="N160">
        <v>65</v>
      </c>
    </row>
    <row r="161" spans="1:14" x14ac:dyDescent="0.25">
      <c r="A161">
        <v>159</v>
      </c>
      <c r="B161">
        <v>7554599</v>
      </c>
      <c r="C161">
        <v>200212505</v>
      </c>
      <c r="D161">
        <v>200203054</v>
      </c>
      <c r="E161" t="s">
        <v>240</v>
      </c>
      <c r="F161" t="s">
        <v>339</v>
      </c>
      <c r="G161" t="s">
        <v>232</v>
      </c>
      <c r="H161">
        <v>18</v>
      </c>
      <c r="I161">
        <v>21</v>
      </c>
      <c r="J161">
        <v>3</v>
      </c>
      <c r="K161">
        <v>19686.330078125</v>
      </c>
      <c r="L161">
        <v>19104</v>
      </c>
      <c r="M161">
        <v>19900</v>
      </c>
      <c r="N161">
        <v>99</v>
      </c>
    </row>
    <row r="162" spans="1:14" x14ac:dyDescent="0.25">
      <c r="A162">
        <v>160</v>
      </c>
      <c r="B162">
        <v>7595552</v>
      </c>
      <c r="C162">
        <v>200031150</v>
      </c>
      <c r="D162">
        <v>200071497</v>
      </c>
      <c r="E162" t="s">
        <v>222</v>
      </c>
      <c r="F162" t="s">
        <v>340</v>
      </c>
      <c r="G162" t="s">
        <v>224</v>
      </c>
      <c r="H162">
        <v>19</v>
      </c>
      <c r="I162">
        <v>21</v>
      </c>
      <c r="J162">
        <v>2</v>
      </c>
      <c r="K162">
        <v>21196.640625</v>
      </c>
      <c r="L162">
        <v>16001</v>
      </c>
      <c r="M162">
        <v>35000</v>
      </c>
      <c r="N162">
        <v>61</v>
      </c>
    </row>
    <row r="163" spans="1:14" x14ac:dyDescent="0.25">
      <c r="A163">
        <v>161</v>
      </c>
      <c r="B163">
        <v>7629149</v>
      </c>
      <c r="C163">
        <v>200080747</v>
      </c>
      <c r="D163">
        <v>200025501</v>
      </c>
      <c r="E163" t="s">
        <v>213</v>
      </c>
      <c r="F163" t="s">
        <v>341</v>
      </c>
      <c r="G163" t="s">
        <v>235</v>
      </c>
      <c r="H163">
        <v>45</v>
      </c>
      <c r="I163">
        <v>45</v>
      </c>
      <c r="J163">
        <v>1</v>
      </c>
      <c r="K163">
        <v>1982.130004882812</v>
      </c>
      <c r="L163">
        <v>1974</v>
      </c>
      <c r="M163">
        <v>10000</v>
      </c>
      <c r="N163">
        <v>20</v>
      </c>
    </row>
    <row r="164" spans="1:14" x14ac:dyDescent="0.25">
      <c r="A164">
        <v>162</v>
      </c>
      <c r="B164">
        <v>7662827</v>
      </c>
      <c r="C164">
        <v>200198612</v>
      </c>
      <c r="D164">
        <v>200206427</v>
      </c>
      <c r="E164" t="s">
        <v>286</v>
      </c>
      <c r="F164" t="s">
        <v>342</v>
      </c>
      <c r="G164" t="s">
        <v>275</v>
      </c>
      <c r="H164">
        <v>29</v>
      </c>
      <c r="I164">
        <v>32</v>
      </c>
      <c r="J164">
        <v>4</v>
      </c>
      <c r="K164">
        <v>6416.02001953125</v>
      </c>
      <c r="L164">
        <v>6224</v>
      </c>
      <c r="M164">
        <v>7100</v>
      </c>
      <c r="N164">
        <v>90</v>
      </c>
    </row>
    <row r="165" spans="1:14" x14ac:dyDescent="0.25">
      <c r="A165">
        <v>163</v>
      </c>
      <c r="B165">
        <v>7662827</v>
      </c>
      <c r="C165">
        <v>200206427</v>
      </c>
      <c r="D165">
        <v>200198612</v>
      </c>
      <c r="E165" t="s">
        <v>286</v>
      </c>
      <c r="F165" t="s">
        <v>342</v>
      </c>
      <c r="G165" t="s">
        <v>275</v>
      </c>
      <c r="H165">
        <v>29</v>
      </c>
      <c r="I165">
        <v>32</v>
      </c>
      <c r="J165">
        <v>3</v>
      </c>
      <c r="K165">
        <v>6385.83984375</v>
      </c>
      <c r="L165">
        <v>6184</v>
      </c>
      <c r="M165">
        <v>7100</v>
      </c>
      <c r="N165">
        <v>90</v>
      </c>
    </row>
    <row r="166" spans="1:14" x14ac:dyDescent="0.25">
      <c r="A166">
        <v>164</v>
      </c>
      <c r="B166">
        <v>7670322</v>
      </c>
      <c r="C166">
        <v>200021491</v>
      </c>
      <c r="D166">
        <v>200215735</v>
      </c>
      <c r="E166" t="s">
        <v>265</v>
      </c>
      <c r="F166" t="s">
        <v>343</v>
      </c>
      <c r="G166" t="s">
        <v>221</v>
      </c>
      <c r="H166">
        <v>11</v>
      </c>
      <c r="I166">
        <v>12</v>
      </c>
      <c r="J166">
        <v>1</v>
      </c>
      <c r="K166">
        <v>6728.72998046875</v>
      </c>
      <c r="L166">
        <v>6565</v>
      </c>
      <c r="M166">
        <v>7100</v>
      </c>
      <c r="N166">
        <v>95</v>
      </c>
    </row>
    <row r="167" spans="1:14" x14ac:dyDescent="0.25">
      <c r="A167">
        <v>165</v>
      </c>
      <c r="B167">
        <v>7670322</v>
      </c>
      <c r="C167">
        <v>200215735</v>
      </c>
      <c r="D167">
        <v>200021491</v>
      </c>
      <c r="E167" t="s">
        <v>265</v>
      </c>
      <c r="F167" t="s">
        <v>343</v>
      </c>
      <c r="G167" t="s">
        <v>221</v>
      </c>
      <c r="H167">
        <v>11</v>
      </c>
      <c r="I167">
        <v>12</v>
      </c>
      <c r="J167">
        <v>1</v>
      </c>
      <c r="K167">
        <v>6198.64990234375</v>
      </c>
      <c r="L167">
        <v>6040</v>
      </c>
      <c r="M167">
        <v>7100</v>
      </c>
      <c r="N167">
        <v>87</v>
      </c>
    </row>
    <row r="168" spans="1:14" x14ac:dyDescent="0.25">
      <c r="A168">
        <v>166</v>
      </c>
      <c r="B168">
        <v>7756802</v>
      </c>
      <c r="C168">
        <v>200028133</v>
      </c>
      <c r="D168">
        <v>200074726</v>
      </c>
      <c r="E168" t="s">
        <v>213</v>
      </c>
      <c r="F168" t="s">
        <v>344</v>
      </c>
      <c r="G168" t="s">
        <v>221</v>
      </c>
      <c r="H168">
        <v>72</v>
      </c>
      <c r="I168">
        <v>79</v>
      </c>
      <c r="J168">
        <v>7</v>
      </c>
      <c r="K168">
        <v>9976.8203125</v>
      </c>
      <c r="L168">
        <v>7777</v>
      </c>
      <c r="M168">
        <v>17500</v>
      </c>
      <c r="N168">
        <v>57</v>
      </c>
    </row>
    <row r="169" spans="1:14" x14ac:dyDescent="0.25">
      <c r="A169">
        <v>167</v>
      </c>
      <c r="B169">
        <v>7931349</v>
      </c>
      <c r="C169">
        <v>200200596</v>
      </c>
      <c r="D169">
        <v>200214298</v>
      </c>
      <c r="E169" t="s">
        <v>280</v>
      </c>
      <c r="F169" t="s">
        <v>345</v>
      </c>
      <c r="G169" t="s">
        <v>244</v>
      </c>
      <c r="H169">
        <v>42</v>
      </c>
      <c r="I169">
        <v>43</v>
      </c>
      <c r="J169">
        <v>1</v>
      </c>
      <c r="K169">
        <v>2945.06005859375</v>
      </c>
      <c r="L169">
        <v>2731</v>
      </c>
      <c r="M169">
        <v>6500</v>
      </c>
      <c r="N169">
        <v>45</v>
      </c>
    </row>
    <row r="170" spans="1:14" x14ac:dyDescent="0.25">
      <c r="A170">
        <v>168</v>
      </c>
      <c r="B170">
        <v>7931349</v>
      </c>
      <c r="C170">
        <v>200214298</v>
      </c>
      <c r="D170">
        <v>200200596</v>
      </c>
      <c r="E170" t="s">
        <v>280</v>
      </c>
      <c r="F170" t="s">
        <v>345</v>
      </c>
      <c r="G170" t="s">
        <v>244</v>
      </c>
      <c r="H170">
        <v>42</v>
      </c>
      <c r="I170">
        <v>43</v>
      </c>
      <c r="J170">
        <v>1</v>
      </c>
      <c r="K170">
        <v>3107.590087890625</v>
      </c>
      <c r="L170">
        <v>2868</v>
      </c>
      <c r="M170">
        <v>6500</v>
      </c>
      <c r="N170">
        <v>48</v>
      </c>
    </row>
    <row r="171" spans="1:14" x14ac:dyDescent="0.25">
      <c r="A171">
        <v>169</v>
      </c>
      <c r="B171">
        <v>7996391</v>
      </c>
      <c r="C171">
        <v>200027647</v>
      </c>
      <c r="D171">
        <v>200080399</v>
      </c>
      <c r="E171" t="s">
        <v>346</v>
      </c>
      <c r="F171" t="s">
        <v>347</v>
      </c>
      <c r="G171" t="s">
        <v>235</v>
      </c>
      <c r="H171">
        <v>184</v>
      </c>
      <c r="I171">
        <v>198</v>
      </c>
      <c r="J171">
        <v>14</v>
      </c>
      <c r="K171">
        <v>4886.7900390625</v>
      </c>
      <c r="L171">
        <v>4672</v>
      </c>
      <c r="M171">
        <v>6500</v>
      </c>
      <c r="N171">
        <v>75</v>
      </c>
    </row>
    <row r="172" spans="1:14" x14ac:dyDescent="0.25">
      <c r="A172">
        <v>170</v>
      </c>
      <c r="B172">
        <v>7996391</v>
      </c>
      <c r="C172">
        <v>200080399</v>
      </c>
      <c r="D172">
        <v>200027647</v>
      </c>
      <c r="E172" t="s">
        <v>346</v>
      </c>
      <c r="F172" t="s">
        <v>347</v>
      </c>
      <c r="G172" t="s">
        <v>235</v>
      </c>
      <c r="H172">
        <v>184</v>
      </c>
      <c r="I172">
        <v>194</v>
      </c>
      <c r="J172">
        <v>11</v>
      </c>
      <c r="K172">
        <v>4316.08984375</v>
      </c>
      <c r="L172">
        <v>4109</v>
      </c>
      <c r="M172">
        <v>6500</v>
      </c>
      <c r="N172">
        <v>66</v>
      </c>
    </row>
    <row r="173" spans="1:14" x14ac:dyDescent="0.25">
      <c r="A173">
        <v>171</v>
      </c>
      <c r="B173">
        <v>8004062</v>
      </c>
      <c r="C173">
        <v>200027647</v>
      </c>
      <c r="D173">
        <v>200202110</v>
      </c>
      <c r="E173" t="s">
        <v>286</v>
      </c>
      <c r="F173" t="s">
        <v>348</v>
      </c>
      <c r="G173" t="s">
        <v>275</v>
      </c>
      <c r="H173">
        <v>175</v>
      </c>
      <c r="I173">
        <v>184</v>
      </c>
      <c r="J173">
        <v>9</v>
      </c>
      <c r="K173">
        <v>4099.4599609375</v>
      </c>
      <c r="L173">
        <v>3914</v>
      </c>
      <c r="M173">
        <v>6500</v>
      </c>
      <c r="N173">
        <v>63</v>
      </c>
    </row>
    <row r="174" spans="1:14" x14ac:dyDescent="0.25">
      <c r="A174">
        <v>172</v>
      </c>
      <c r="B174">
        <v>8004062</v>
      </c>
      <c r="C174">
        <v>200202110</v>
      </c>
      <c r="D174">
        <v>200027647</v>
      </c>
      <c r="E174" t="s">
        <v>286</v>
      </c>
      <c r="F174" t="s">
        <v>348</v>
      </c>
      <c r="G174" t="s">
        <v>275</v>
      </c>
      <c r="H174">
        <v>175</v>
      </c>
      <c r="I174">
        <v>188</v>
      </c>
      <c r="J174">
        <v>12</v>
      </c>
      <c r="K174">
        <v>4719.72998046875</v>
      </c>
      <c r="L174">
        <v>4541</v>
      </c>
      <c r="M174">
        <v>6500</v>
      </c>
      <c r="N174">
        <v>73</v>
      </c>
    </row>
    <row r="175" spans="1:14" x14ac:dyDescent="0.25">
      <c r="A175">
        <v>173</v>
      </c>
      <c r="B175">
        <v>8011737</v>
      </c>
      <c r="C175">
        <v>200202405</v>
      </c>
      <c r="D175">
        <v>200198336</v>
      </c>
      <c r="E175" t="s">
        <v>240</v>
      </c>
      <c r="F175" t="s">
        <v>316</v>
      </c>
      <c r="G175" t="s">
        <v>237</v>
      </c>
      <c r="H175">
        <v>9</v>
      </c>
      <c r="I175">
        <v>10</v>
      </c>
      <c r="J175">
        <v>1</v>
      </c>
      <c r="K175">
        <v>16101.5400390625</v>
      </c>
      <c r="L175">
        <v>15476</v>
      </c>
      <c r="M175">
        <v>17750</v>
      </c>
      <c r="N175">
        <v>91</v>
      </c>
    </row>
    <row r="176" spans="1:14" x14ac:dyDescent="0.25">
      <c r="A176">
        <v>174</v>
      </c>
      <c r="B176">
        <v>8077136</v>
      </c>
      <c r="C176">
        <v>200213638</v>
      </c>
      <c r="D176">
        <v>200024300</v>
      </c>
      <c r="E176" t="s">
        <v>240</v>
      </c>
      <c r="F176" t="s">
        <v>349</v>
      </c>
      <c r="G176" t="s">
        <v>237</v>
      </c>
      <c r="H176">
        <v>56</v>
      </c>
      <c r="I176">
        <v>59</v>
      </c>
      <c r="J176">
        <v>3</v>
      </c>
      <c r="K176">
        <v>10995.4697265625</v>
      </c>
      <c r="L176">
        <v>10587</v>
      </c>
      <c r="M176">
        <v>15800</v>
      </c>
      <c r="N176">
        <v>70</v>
      </c>
    </row>
    <row r="177" spans="1:14" x14ac:dyDescent="0.25">
      <c r="A177">
        <v>175</v>
      </c>
      <c r="B177">
        <v>8096426</v>
      </c>
      <c r="C177">
        <v>200018361</v>
      </c>
      <c r="D177">
        <v>200211465</v>
      </c>
      <c r="E177" t="s">
        <v>240</v>
      </c>
      <c r="F177" t="s">
        <v>350</v>
      </c>
      <c r="G177" t="s">
        <v>237</v>
      </c>
      <c r="H177">
        <v>55</v>
      </c>
      <c r="I177">
        <v>58</v>
      </c>
      <c r="J177">
        <v>3</v>
      </c>
      <c r="K177">
        <v>11208.7099609375</v>
      </c>
      <c r="L177">
        <v>10880</v>
      </c>
      <c r="M177">
        <v>15800</v>
      </c>
      <c r="N177">
        <v>71</v>
      </c>
    </row>
    <row r="178" spans="1:14" x14ac:dyDescent="0.25">
      <c r="A178">
        <v>176</v>
      </c>
      <c r="B178">
        <v>8111876</v>
      </c>
      <c r="C178">
        <v>200198085</v>
      </c>
      <c r="D178">
        <v>200209972</v>
      </c>
      <c r="E178" t="s">
        <v>247</v>
      </c>
      <c r="F178" t="s">
        <v>351</v>
      </c>
      <c r="G178" t="s">
        <v>235</v>
      </c>
      <c r="H178">
        <v>100</v>
      </c>
      <c r="I178">
        <v>115</v>
      </c>
      <c r="J178">
        <v>15</v>
      </c>
      <c r="K178">
        <v>8182.740234375</v>
      </c>
      <c r="L178">
        <v>7964</v>
      </c>
      <c r="M178">
        <v>7800</v>
      </c>
      <c r="N178">
        <v>105</v>
      </c>
    </row>
    <row r="179" spans="1:14" x14ac:dyDescent="0.25">
      <c r="A179">
        <v>177</v>
      </c>
      <c r="B179">
        <v>8111876</v>
      </c>
      <c r="C179">
        <v>200209972</v>
      </c>
      <c r="D179">
        <v>200198085</v>
      </c>
      <c r="E179" t="s">
        <v>247</v>
      </c>
      <c r="F179" t="s">
        <v>351</v>
      </c>
      <c r="G179" t="s">
        <v>235</v>
      </c>
      <c r="H179">
        <v>100</v>
      </c>
      <c r="I179">
        <v>128</v>
      </c>
      <c r="J179">
        <v>28</v>
      </c>
      <c r="K179">
        <v>9536.4501953125</v>
      </c>
      <c r="L179">
        <v>9003</v>
      </c>
      <c r="M179">
        <v>7800</v>
      </c>
      <c r="N179">
        <v>122</v>
      </c>
    </row>
    <row r="180" spans="1:14" x14ac:dyDescent="0.25">
      <c r="A180">
        <v>178</v>
      </c>
      <c r="B180">
        <v>8228261</v>
      </c>
      <c r="C180">
        <v>200194451</v>
      </c>
      <c r="D180">
        <v>200018361</v>
      </c>
      <c r="E180" t="s">
        <v>240</v>
      </c>
      <c r="F180" t="s">
        <v>352</v>
      </c>
      <c r="G180" t="s">
        <v>237</v>
      </c>
      <c r="H180">
        <v>57</v>
      </c>
      <c r="I180">
        <v>59</v>
      </c>
      <c r="J180">
        <v>3</v>
      </c>
      <c r="K180">
        <v>10546.330078125</v>
      </c>
      <c r="L180">
        <v>10233</v>
      </c>
      <c r="M180">
        <v>15800</v>
      </c>
      <c r="N180">
        <v>67</v>
      </c>
    </row>
    <row r="181" spans="1:14" x14ac:dyDescent="0.25">
      <c r="A181">
        <v>179</v>
      </c>
      <c r="B181">
        <v>8275067</v>
      </c>
      <c r="C181">
        <v>200194451</v>
      </c>
      <c r="D181">
        <v>200209406</v>
      </c>
      <c r="E181" t="s">
        <v>266</v>
      </c>
      <c r="F181" t="s">
        <v>353</v>
      </c>
      <c r="G181" t="s">
        <v>244</v>
      </c>
      <c r="H181">
        <v>64</v>
      </c>
      <c r="I181">
        <v>65</v>
      </c>
      <c r="J181">
        <v>1</v>
      </c>
      <c r="K181">
        <v>2199.840087890625</v>
      </c>
      <c r="L181">
        <v>2143</v>
      </c>
      <c r="M181">
        <v>7100</v>
      </c>
      <c r="N181">
        <v>31</v>
      </c>
    </row>
    <row r="182" spans="1:14" x14ac:dyDescent="0.25">
      <c r="A182">
        <v>180</v>
      </c>
      <c r="B182">
        <v>8275067</v>
      </c>
      <c r="C182">
        <v>200209406</v>
      </c>
      <c r="D182">
        <v>200194451</v>
      </c>
      <c r="E182" t="s">
        <v>266</v>
      </c>
      <c r="F182" t="s">
        <v>353</v>
      </c>
      <c r="G182" t="s">
        <v>244</v>
      </c>
      <c r="H182">
        <v>64</v>
      </c>
      <c r="I182">
        <v>65</v>
      </c>
      <c r="J182">
        <v>1</v>
      </c>
      <c r="K182">
        <v>2526.52001953125</v>
      </c>
      <c r="L182">
        <v>2467</v>
      </c>
      <c r="M182">
        <v>7100</v>
      </c>
      <c r="N182">
        <v>36</v>
      </c>
    </row>
    <row r="183" spans="1:14" x14ac:dyDescent="0.25">
      <c r="A183">
        <v>181</v>
      </c>
      <c r="B183">
        <v>39811159</v>
      </c>
      <c r="C183">
        <v>200215436</v>
      </c>
      <c r="D183">
        <v>201147289</v>
      </c>
      <c r="E183" t="s">
        <v>327</v>
      </c>
      <c r="F183" t="s">
        <v>354</v>
      </c>
      <c r="G183" t="s">
        <v>221</v>
      </c>
      <c r="H183">
        <v>91</v>
      </c>
      <c r="I183">
        <v>94</v>
      </c>
      <c r="J183">
        <v>2</v>
      </c>
      <c r="K183">
        <v>2876.72998046875</v>
      </c>
      <c r="L183">
        <v>2244</v>
      </c>
      <c r="M183">
        <v>6500</v>
      </c>
      <c r="N183">
        <v>44</v>
      </c>
    </row>
    <row r="184" spans="1:14" x14ac:dyDescent="0.25">
      <c r="A184">
        <v>182</v>
      </c>
      <c r="B184">
        <v>39811159</v>
      </c>
      <c r="C184">
        <v>201147289</v>
      </c>
      <c r="D184">
        <v>200215436</v>
      </c>
      <c r="E184" t="s">
        <v>327</v>
      </c>
      <c r="F184" t="s">
        <v>354</v>
      </c>
      <c r="G184" t="s">
        <v>221</v>
      </c>
      <c r="H184">
        <v>91</v>
      </c>
      <c r="I184">
        <v>100</v>
      </c>
      <c r="J184">
        <v>9</v>
      </c>
      <c r="K184">
        <v>5367.81982421875</v>
      </c>
      <c r="L184">
        <v>4545</v>
      </c>
      <c r="M184">
        <v>6500</v>
      </c>
      <c r="N184">
        <v>83</v>
      </c>
    </row>
    <row r="185" spans="1:14" x14ac:dyDescent="0.25">
      <c r="A185">
        <v>183</v>
      </c>
      <c r="B185">
        <v>39811213</v>
      </c>
      <c r="C185">
        <v>200193452</v>
      </c>
      <c r="D185">
        <v>201147310</v>
      </c>
      <c r="E185" t="s">
        <v>219</v>
      </c>
      <c r="F185" t="s">
        <v>355</v>
      </c>
      <c r="G185" t="s">
        <v>235</v>
      </c>
      <c r="H185">
        <v>14</v>
      </c>
      <c r="I185">
        <v>15</v>
      </c>
      <c r="J185">
        <v>1</v>
      </c>
      <c r="K185">
        <v>16460.91015625</v>
      </c>
      <c r="L185">
        <v>13625</v>
      </c>
      <c r="M185">
        <v>16900</v>
      </c>
      <c r="N185">
        <v>97</v>
      </c>
    </row>
    <row r="186" spans="1:14" x14ac:dyDescent="0.25">
      <c r="A186">
        <v>184</v>
      </c>
      <c r="B186">
        <v>39811213</v>
      </c>
      <c r="C186">
        <v>201147310</v>
      </c>
      <c r="D186">
        <v>200193452</v>
      </c>
      <c r="E186" t="s">
        <v>219</v>
      </c>
      <c r="F186" t="s">
        <v>355</v>
      </c>
      <c r="G186" t="s">
        <v>235</v>
      </c>
      <c r="H186">
        <v>14</v>
      </c>
      <c r="I186">
        <v>16</v>
      </c>
      <c r="J186">
        <v>3</v>
      </c>
      <c r="K186">
        <v>20369.75</v>
      </c>
      <c r="L186">
        <v>16806</v>
      </c>
      <c r="M186">
        <v>16900</v>
      </c>
      <c r="N186">
        <v>121</v>
      </c>
    </row>
    <row r="187" spans="1:14" x14ac:dyDescent="0.25">
      <c r="A187">
        <v>185</v>
      </c>
      <c r="B187">
        <v>39811215</v>
      </c>
      <c r="C187">
        <v>200200624</v>
      </c>
      <c r="D187">
        <v>201147312</v>
      </c>
      <c r="E187" t="s">
        <v>240</v>
      </c>
      <c r="F187" t="s">
        <v>379</v>
      </c>
      <c r="G187" t="s">
        <v>232</v>
      </c>
      <c r="H187">
        <v>28</v>
      </c>
      <c r="I187">
        <v>33</v>
      </c>
      <c r="J187">
        <v>5</v>
      </c>
      <c r="K187">
        <v>20063.650390625</v>
      </c>
      <c r="L187">
        <v>18449</v>
      </c>
      <c r="M187">
        <v>19900</v>
      </c>
      <c r="N187">
        <v>101</v>
      </c>
    </row>
    <row r="188" spans="1:14" x14ac:dyDescent="0.25">
      <c r="A188">
        <v>186</v>
      </c>
      <c r="B188">
        <v>39811216</v>
      </c>
      <c r="C188">
        <v>201147312</v>
      </c>
      <c r="D188">
        <v>200212505</v>
      </c>
      <c r="E188" t="s">
        <v>240</v>
      </c>
      <c r="F188" t="s">
        <v>356</v>
      </c>
      <c r="G188" t="s">
        <v>232</v>
      </c>
      <c r="H188">
        <v>33</v>
      </c>
      <c r="I188">
        <v>38</v>
      </c>
      <c r="J188">
        <v>5</v>
      </c>
      <c r="K188">
        <v>19625.970703125</v>
      </c>
      <c r="L188">
        <v>19052</v>
      </c>
      <c r="M188">
        <v>19900</v>
      </c>
      <c r="N188">
        <v>99</v>
      </c>
    </row>
    <row r="189" spans="1:14" x14ac:dyDescent="0.25">
      <c r="A189">
        <v>187</v>
      </c>
      <c r="B189">
        <v>39811218</v>
      </c>
      <c r="C189">
        <v>200193255</v>
      </c>
      <c r="D189">
        <v>201147313</v>
      </c>
      <c r="E189" t="s">
        <v>240</v>
      </c>
      <c r="F189" t="s">
        <v>357</v>
      </c>
      <c r="G189" t="s">
        <v>232</v>
      </c>
      <c r="H189">
        <v>33</v>
      </c>
      <c r="I189">
        <v>38</v>
      </c>
      <c r="J189">
        <v>5</v>
      </c>
      <c r="K189">
        <v>18959.810546875</v>
      </c>
      <c r="L189">
        <v>18348</v>
      </c>
      <c r="M189">
        <v>19900</v>
      </c>
      <c r="N189">
        <v>95</v>
      </c>
    </row>
    <row r="190" spans="1:14" x14ac:dyDescent="0.25">
      <c r="A190">
        <v>188</v>
      </c>
      <c r="B190">
        <v>39811219</v>
      </c>
      <c r="C190">
        <v>201147310</v>
      </c>
      <c r="D190">
        <v>201147312</v>
      </c>
      <c r="E190" t="s">
        <v>213</v>
      </c>
      <c r="F190" t="s">
        <v>380</v>
      </c>
      <c r="G190" t="s">
        <v>237</v>
      </c>
      <c r="H190">
        <v>79</v>
      </c>
      <c r="I190">
        <v>83</v>
      </c>
      <c r="J190">
        <v>4</v>
      </c>
      <c r="K190">
        <v>11030.580078125</v>
      </c>
      <c r="L190">
        <v>9786</v>
      </c>
      <c r="M190">
        <v>15800</v>
      </c>
      <c r="N190">
        <v>70</v>
      </c>
    </row>
    <row r="191" spans="1:14" x14ac:dyDescent="0.25">
      <c r="A191">
        <v>189</v>
      </c>
      <c r="B191">
        <v>39811219</v>
      </c>
      <c r="C191">
        <v>201147312</v>
      </c>
      <c r="D191">
        <v>201147310</v>
      </c>
      <c r="E191" t="s">
        <v>213</v>
      </c>
      <c r="F191" t="s">
        <v>380</v>
      </c>
      <c r="G191" t="s">
        <v>237</v>
      </c>
      <c r="H191">
        <v>79</v>
      </c>
      <c r="I191">
        <v>86</v>
      </c>
      <c r="J191">
        <v>7</v>
      </c>
      <c r="K191">
        <v>13574.9501953125</v>
      </c>
      <c r="L191">
        <v>11752</v>
      </c>
      <c r="M191">
        <v>15800</v>
      </c>
      <c r="N191">
        <v>86</v>
      </c>
    </row>
    <row r="192" spans="1:14" x14ac:dyDescent="0.25">
      <c r="A192">
        <v>190</v>
      </c>
      <c r="B192">
        <v>39811220</v>
      </c>
      <c r="C192">
        <v>201147312</v>
      </c>
      <c r="D192">
        <v>201147313</v>
      </c>
      <c r="E192" t="s">
        <v>213</v>
      </c>
      <c r="F192" t="s">
        <v>374</v>
      </c>
      <c r="G192" t="s">
        <v>237</v>
      </c>
      <c r="H192">
        <v>1</v>
      </c>
      <c r="I192">
        <v>1</v>
      </c>
      <c r="J192">
        <v>0</v>
      </c>
      <c r="K192">
        <v>10806.4501953125</v>
      </c>
      <c r="L192">
        <v>9469</v>
      </c>
      <c r="M192">
        <v>15800</v>
      </c>
      <c r="N192">
        <v>68</v>
      </c>
    </row>
    <row r="193" spans="1:14" x14ac:dyDescent="0.25">
      <c r="A193">
        <v>191</v>
      </c>
      <c r="B193">
        <v>39811220</v>
      </c>
      <c r="C193">
        <v>201147313</v>
      </c>
      <c r="D193">
        <v>201147312</v>
      </c>
      <c r="E193" t="s">
        <v>213</v>
      </c>
      <c r="F193" t="s">
        <v>374</v>
      </c>
      <c r="G193" t="s">
        <v>237</v>
      </c>
      <c r="H193">
        <v>1</v>
      </c>
      <c r="I193">
        <v>1</v>
      </c>
      <c r="J193">
        <v>0</v>
      </c>
      <c r="K193">
        <v>12249.1796875</v>
      </c>
      <c r="L193">
        <v>11472</v>
      </c>
      <c r="M193">
        <v>15800</v>
      </c>
      <c r="N193">
        <v>78</v>
      </c>
    </row>
    <row r="194" spans="1:14" x14ac:dyDescent="0.25">
      <c r="A194">
        <v>192</v>
      </c>
      <c r="B194">
        <v>39811222</v>
      </c>
      <c r="C194">
        <v>201147310</v>
      </c>
      <c r="D194">
        <v>201147311</v>
      </c>
      <c r="E194" t="s">
        <v>213</v>
      </c>
      <c r="F194" t="s">
        <v>358</v>
      </c>
      <c r="G194" t="s">
        <v>215</v>
      </c>
      <c r="H194">
        <v>43</v>
      </c>
      <c r="I194">
        <v>43</v>
      </c>
      <c r="J194">
        <v>1</v>
      </c>
      <c r="K194">
        <v>2164.139892578125</v>
      </c>
      <c r="L194">
        <v>1795</v>
      </c>
      <c r="M194">
        <v>6500</v>
      </c>
      <c r="N194">
        <v>33</v>
      </c>
    </row>
    <row r="195" spans="1:14" x14ac:dyDescent="0.25">
      <c r="A195">
        <v>193</v>
      </c>
      <c r="B195">
        <v>39811222</v>
      </c>
      <c r="C195">
        <v>201147311</v>
      </c>
      <c r="D195">
        <v>201147310</v>
      </c>
      <c r="E195" t="s">
        <v>213</v>
      </c>
      <c r="F195" t="s">
        <v>358</v>
      </c>
      <c r="G195" t="s">
        <v>215</v>
      </c>
      <c r="H195">
        <v>43</v>
      </c>
      <c r="I195">
        <v>44</v>
      </c>
      <c r="J195">
        <v>1</v>
      </c>
      <c r="K195">
        <v>2284.860107421875</v>
      </c>
      <c r="L195">
        <v>1898</v>
      </c>
      <c r="M195">
        <v>6500</v>
      </c>
      <c r="N195">
        <v>35</v>
      </c>
    </row>
    <row r="196" spans="1:14" x14ac:dyDescent="0.25">
      <c r="A196">
        <v>194</v>
      </c>
      <c r="B196">
        <v>39811223</v>
      </c>
      <c r="C196">
        <v>201147310</v>
      </c>
      <c r="D196">
        <v>201147314</v>
      </c>
      <c r="E196" t="s">
        <v>219</v>
      </c>
      <c r="F196" t="s">
        <v>359</v>
      </c>
      <c r="G196" t="s">
        <v>235</v>
      </c>
      <c r="H196">
        <v>70</v>
      </c>
      <c r="I196">
        <v>71</v>
      </c>
      <c r="J196">
        <v>1</v>
      </c>
      <c r="K196">
        <v>2375.7900390625</v>
      </c>
      <c r="L196">
        <v>2161</v>
      </c>
      <c r="M196">
        <v>7800</v>
      </c>
      <c r="N196">
        <v>30</v>
      </c>
    </row>
    <row r="197" spans="1:14" x14ac:dyDescent="0.25">
      <c r="A197">
        <v>195</v>
      </c>
      <c r="B197">
        <v>39811223</v>
      </c>
      <c r="C197">
        <v>201147314</v>
      </c>
      <c r="D197">
        <v>201147310</v>
      </c>
      <c r="E197" t="s">
        <v>219</v>
      </c>
      <c r="F197" t="s">
        <v>359</v>
      </c>
      <c r="G197" t="s">
        <v>235</v>
      </c>
      <c r="H197">
        <v>70</v>
      </c>
      <c r="I197">
        <v>72</v>
      </c>
      <c r="J197">
        <v>1</v>
      </c>
      <c r="K197">
        <v>2955.570068359375</v>
      </c>
      <c r="L197">
        <v>2705</v>
      </c>
      <c r="M197">
        <v>7800</v>
      </c>
      <c r="N197">
        <v>38</v>
      </c>
    </row>
    <row r="198" spans="1:14" x14ac:dyDescent="0.25">
      <c r="A198">
        <v>196</v>
      </c>
      <c r="B198">
        <v>39811224</v>
      </c>
      <c r="C198">
        <v>200203054</v>
      </c>
      <c r="D198">
        <v>201147314</v>
      </c>
      <c r="E198" t="s">
        <v>219</v>
      </c>
      <c r="F198" t="s">
        <v>360</v>
      </c>
      <c r="G198" t="s">
        <v>235</v>
      </c>
      <c r="H198">
        <v>7</v>
      </c>
      <c r="I198">
        <v>7</v>
      </c>
      <c r="J198">
        <v>0</v>
      </c>
      <c r="K198">
        <v>0</v>
      </c>
      <c r="L198">
        <v>0</v>
      </c>
      <c r="M198">
        <v>7800</v>
      </c>
      <c r="N198">
        <v>0</v>
      </c>
    </row>
    <row r="199" spans="1:14" x14ac:dyDescent="0.25">
      <c r="A199">
        <v>197</v>
      </c>
      <c r="B199">
        <v>39811224</v>
      </c>
      <c r="C199">
        <v>201147314</v>
      </c>
      <c r="D199">
        <v>200203054</v>
      </c>
      <c r="E199" t="s">
        <v>219</v>
      </c>
      <c r="F199" t="s">
        <v>360</v>
      </c>
      <c r="G199" t="s">
        <v>235</v>
      </c>
      <c r="H199">
        <v>7</v>
      </c>
      <c r="I199">
        <v>7</v>
      </c>
      <c r="J199">
        <v>0</v>
      </c>
      <c r="K199">
        <v>0</v>
      </c>
      <c r="L199">
        <v>0</v>
      </c>
      <c r="M199">
        <v>7800</v>
      </c>
      <c r="N199">
        <v>0</v>
      </c>
    </row>
    <row r="200" spans="1:14" x14ac:dyDescent="0.25">
      <c r="A200">
        <v>198</v>
      </c>
      <c r="B200">
        <v>39811225</v>
      </c>
      <c r="C200">
        <v>200200596</v>
      </c>
      <c r="D200">
        <v>201147315</v>
      </c>
      <c r="E200" t="s">
        <v>361</v>
      </c>
      <c r="F200" t="s">
        <v>362</v>
      </c>
      <c r="G200" t="s">
        <v>221</v>
      </c>
      <c r="H200">
        <v>40</v>
      </c>
      <c r="I200">
        <v>41</v>
      </c>
      <c r="J200">
        <v>1</v>
      </c>
      <c r="K200">
        <v>3003.830078125</v>
      </c>
      <c r="L200">
        <v>2720</v>
      </c>
      <c r="M200">
        <v>6500</v>
      </c>
      <c r="N200">
        <v>46</v>
      </c>
    </row>
    <row r="201" spans="1:14" x14ac:dyDescent="0.25">
      <c r="A201">
        <v>199</v>
      </c>
      <c r="B201">
        <v>39811225</v>
      </c>
      <c r="C201">
        <v>201147315</v>
      </c>
      <c r="D201">
        <v>200200596</v>
      </c>
      <c r="E201" t="s">
        <v>361</v>
      </c>
      <c r="F201" t="s">
        <v>362</v>
      </c>
      <c r="G201" t="s">
        <v>221</v>
      </c>
      <c r="H201">
        <v>40</v>
      </c>
      <c r="I201">
        <v>41</v>
      </c>
      <c r="J201">
        <v>1</v>
      </c>
      <c r="K201">
        <v>2570.31005859375</v>
      </c>
      <c r="L201">
        <v>2334</v>
      </c>
      <c r="M201">
        <v>6500</v>
      </c>
      <c r="N201">
        <v>40</v>
      </c>
    </row>
    <row r="202" spans="1:14" x14ac:dyDescent="0.25">
      <c r="A202">
        <v>200</v>
      </c>
      <c r="B202">
        <v>39811226</v>
      </c>
      <c r="C202">
        <v>200027647</v>
      </c>
      <c r="D202">
        <v>201147315</v>
      </c>
      <c r="E202" t="s">
        <v>361</v>
      </c>
      <c r="F202" t="s">
        <v>363</v>
      </c>
      <c r="G202" t="s">
        <v>221</v>
      </c>
      <c r="H202">
        <v>121</v>
      </c>
      <c r="I202">
        <v>122</v>
      </c>
      <c r="J202">
        <v>1</v>
      </c>
      <c r="K202">
        <v>802.6199951171875</v>
      </c>
      <c r="L202">
        <v>772</v>
      </c>
      <c r="M202">
        <v>6500</v>
      </c>
      <c r="N202">
        <v>12</v>
      </c>
    </row>
    <row r="203" spans="1:14" x14ac:dyDescent="0.25">
      <c r="A203">
        <v>201</v>
      </c>
      <c r="B203">
        <v>39811226</v>
      </c>
      <c r="C203">
        <v>201147315</v>
      </c>
      <c r="D203">
        <v>200027647</v>
      </c>
      <c r="E203" t="s">
        <v>361</v>
      </c>
      <c r="F203" t="s">
        <v>363</v>
      </c>
      <c r="G203" t="s">
        <v>221</v>
      </c>
      <c r="H203">
        <v>121</v>
      </c>
      <c r="I203">
        <v>122</v>
      </c>
      <c r="J203">
        <v>0</v>
      </c>
      <c r="K203">
        <v>656.3699951171875</v>
      </c>
      <c r="L203">
        <v>613</v>
      </c>
      <c r="M203">
        <v>6500</v>
      </c>
      <c r="N203">
        <v>10</v>
      </c>
    </row>
    <row r="204" spans="1:14" x14ac:dyDescent="0.25">
      <c r="A204">
        <v>202</v>
      </c>
      <c r="B204">
        <v>39811227</v>
      </c>
      <c r="C204">
        <v>201147314</v>
      </c>
      <c r="D204">
        <v>201147315</v>
      </c>
      <c r="E204" t="s">
        <v>213</v>
      </c>
      <c r="F204" t="s">
        <v>364</v>
      </c>
      <c r="G204" t="s">
        <v>215</v>
      </c>
      <c r="H204">
        <v>125</v>
      </c>
      <c r="I204">
        <v>127</v>
      </c>
      <c r="J204">
        <v>3</v>
      </c>
      <c r="K204">
        <v>2375.7900390625</v>
      </c>
      <c r="L204">
        <v>2161</v>
      </c>
      <c r="M204">
        <v>6500</v>
      </c>
      <c r="N204">
        <v>37</v>
      </c>
    </row>
    <row r="205" spans="1:14" x14ac:dyDescent="0.25">
      <c r="A205">
        <v>203</v>
      </c>
      <c r="B205">
        <v>39811227</v>
      </c>
      <c r="C205">
        <v>201147315</v>
      </c>
      <c r="D205">
        <v>201147314</v>
      </c>
      <c r="E205" t="s">
        <v>213</v>
      </c>
      <c r="F205" t="s">
        <v>364</v>
      </c>
      <c r="G205" t="s">
        <v>215</v>
      </c>
      <c r="H205">
        <v>125</v>
      </c>
      <c r="I205">
        <v>129</v>
      </c>
      <c r="J205">
        <v>4</v>
      </c>
      <c r="K205">
        <v>2955.570068359375</v>
      </c>
      <c r="L205">
        <v>2705</v>
      </c>
      <c r="M205">
        <v>6500</v>
      </c>
      <c r="N205">
        <v>45</v>
      </c>
    </row>
    <row r="206" spans="1:14" x14ac:dyDescent="0.25">
      <c r="A206">
        <v>204</v>
      </c>
      <c r="B206">
        <v>39811228</v>
      </c>
      <c r="C206">
        <v>200212505</v>
      </c>
      <c r="D206">
        <v>201147316</v>
      </c>
      <c r="E206" t="s">
        <v>213</v>
      </c>
      <c r="F206" t="s">
        <v>278</v>
      </c>
      <c r="G206" t="s">
        <v>215</v>
      </c>
      <c r="H206">
        <v>21</v>
      </c>
      <c r="I206">
        <v>21</v>
      </c>
      <c r="J206">
        <v>0</v>
      </c>
      <c r="K206">
        <v>1082.069946289062</v>
      </c>
      <c r="L206">
        <v>897</v>
      </c>
      <c r="M206">
        <v>6500</v>
      </c>
      <c r="N206">
        <v>17</v>
      </c>
    </row>
    <row r="207" spans="1:14" x14ac:dyDescent="0.25">
      <c r="A207">
        <v>205</v>
      </c>
      <c r="B207">
        <v>39811228</v>
      </c>
      <c r="C207">
        <v>201147316</v>
      </c>
      <c r="D207">
        <v>200212505</v>
      </c>
      <c r="E207" t="s">
        <v>213</v>
      </c>
      <c r="F207" t="s">
        <v>278</v>
      </c>
      <c r="G207" t="s">
        <v>215</v>
      </c>
      <c r="H207">
        <v>21</v>
      </c>
      <c r="I207">
        <v>21</v>
      </c>
      <c r="J207">
        <v>0</v>
      </c>
      <c r="K207">
        <v>1142.430053710938</v>
      </c>
      <c r="L207">
        <v>949</v>
      </c>
      <c r="M207">
        <v>6500</v>
      </c>
      <c r="N207">
        <v>18</v>
      </c>
    </row>
    <row r="208" spans="1:14" x14ac:dyDescent="0.25">
      <c r="A208">
        <v>206</v>
      </c>
      <c r="B208">
        <v>39811230</v>
      </c>
      <c r="C208">
        <v>200193255</v>
      </c>
      <c r="D208">
        <v>201147317</v>
      </c>
      <c r="E208" t="s">
        <v>213</v>
      </c>
      <c r="F208" t="s">
        <v>365</v>
      </c>
      <c r="G208" t="s">
        <v>215</v>
      </c>
      <c r="H208">
        <v>20</v>
      </c>
      <c r="I208">
        <v>20</v>
      </c>
      <c r="J208">
        <v>0</v>
      </c>
      <c r="K208">
        <v>339.260009765625</v>
      </c>
      <c r="L208">
        <v>334</v>
      </c>
      <c r="M208">
        <v>6500</v>
      </c>
      <c r="N208">
        <v>5</v>
      </c>
    </row>
    <row r="209" spans="1:14" x14ac:dyDescent="0.25">
      <c r="A209">
        <v>207</v>
      </c>
      <c r="B209">
        <v>39811230</v>
      </c>
      <c r="C209">
        <v>201147317</v>
      </c>
      <c r="D209">
        <v>200193255</v>
      </c>
      <c r="E209" t="s">
        <v>213</v>
      </c>
      <c r="F209" t="s">
        <v>365</v>
      </c>
      <c r="G209" t="s">
        <v>215</v>
      </c>
      <c r="H209">
        <v>20</v>
      </c>
      <c r="I209">
        <v>20</v>
      </c>
      <c r="J209">
        <v>0</v>
      </c>
      <c r="K209">
        <v>328.32000732421881</v>
      </c>
      <c r="L209">
        <v>323</v>
      </c>
      <c r="M209">
        <v>6500</v>
      </c>
      <c r="N209">
        <v>5</v>
      </c>
    </row>
    <row r="210" spans="1:14" x14ac:dyDescent="0.25">
      <c r="A210">
        <v>208</v>
      </c>
      <c r="B210">
        <v>39811231</v>
      </c>
      <c r="C210">
        <v>200205402</v>
      </c>
      <c r="D210">
        <v>201147318</v>
      </c>
      <c r="E210" t="s">
        <v>213</v>
      </c>
      <c r="F210" t="s">
        <v>366</v>
      </c>
      <c r="G210" t="s">
        <v>215</v>
      </c>
      <c r="H210">
        <v>4</v>
      </c>
      <c r="I210">
        <v>5</v>
      </c>
      <c r="J210">
        <v>1</v>
      </c>
      <c r="K210">
        <v>1082.069946289062</v>
      </c>
      <c r="L210">
        <v>897</v>
      </c>
      <c r="M210">
        <v>6500</v>
      </c>
      <c r="N210">
        <v>17</v>
      </c>
    </row>
    <row r="211" spans="1:14" x14ac:dyDescent="0.25">
      <c r="A211">
        <v>209</v>
      </c>
      <c r="B211">
        <v>39811231</v>
      </c>
      <c r="C211">
        <v>201147318</v>
      </c>
      <c r="D211">
        <v>200205402</v>
      </c>
      <c r="E211" t="s">
        <v>213</v>
      </c>
      <c r="F211" t="s">
        <v>366</v>
      </c>
      <c r="G211" t="s">
        <v>215</v>
      </c>
      <c r="H211">
        <v>4</v>
      </c>
      <c r="I211">
        <v>5</v>
      </c>
      <c r="J211">
        <v>1</v>
      </c>
      <c r="K211">
        <v>1142.430053710938</v>
      </c>
      <c r="L211">
        <v>949</v>
      </c>
      <c r="M211">
        <v>6500</v>
      </c>
      <c r="N211">
        <v>18</v>
      </c>
    </row>
    <row r="212" spans="1:14" x14ac:dyDescent="0.25">
      <c r="A212">
        <v>210</v>
      </c>
      <c r="B212">
        <v>39811232</v>
      </c>
      <c r="C212">
        <v>200211437</v>
      </c>
      <c r="D212">
        <v>201147319</v>
      </c>
      <c r="E212" t="s">
        <v>213</v>
      </c>
      <c r="F212" t="s">
        <v>367</v>
      </c>
      <c r="G212" t="s">
        <v>215</v>
      </c>
      <c r="H212">
        <v>3</v>
      </c>
      <c r="I212">
        <v>3</v>
      </c>
      <c r="J212">
        <v>0</v>
      </c>
      <c r="K212">
        <v>339.260009765625</v>
      </c>
      <c r="L212">
        <v>334</v>
      </c>
      <c r="M212">
        <v>6500</v>
      </c>
      <c r="N212">
        <v>5</v>
      </c>
    </row>
    <row r="213" spans="1:14" x14ac:dyDescent="0.25">
      <c r="A213">
        <v>211</v>
      </c>
      <c r="B213">
        <v>39811232</v>
      </c>
      <c r="C213">
        <v>201147319</v>
      </c>
      <c r="D213">
        <v>200211437</v>
      </c>
      <c r="E213" t="s">
        <v>213</v>
      </c>
      <c r="F213" t="s">
        <v>367</v>
      </c>
      <c r="G213" t="s">
        <v>215</v>
      </c>
      <c r="H213">
        <v>3</v>
      </c>
      <c r="I213">
        <v>3</v>
      </c>
      <c r="J213">
        <v>0</v>
      </c>
      <c r="K213">
        <v>328.32000732421881</v>
      </c>
      <c r="L213">
        <v>323</v>
      </c>
      <c r="M213">
        <v>6500</v>
      </c>
      <c r="N213">
        <v>5</v>
      </c>
    </row>
    <row r="214" spans="1:14" x14ac:dyDescent="0.25">
      <c r="A214">
        <v>212</v>
      </c>
      <c r="B214">
        <v>39811233</v>
      </c>
      <c r="C214">
        <v>201147313</v>
      </c>
      <c r="D214">
        <v>201147321</v>
      </c>
      <c r="E214" t="s">
        <v>240</v>
      </c>
      <c r="F214" t="s">
        <v>367</v>
      </c>
      <c r="G214" t="s">
        <v>232</v>
      </c>
      <c r="H214">
        <v>2</v>
      </c>
      <c r="I214">
        <v>2</v>
      </c>
      <c r="J214">
        <v>0</v>
      </c>
      <c r="K214">
        <v>20848.01953125</v>
      </c>
      <c r="L214">
        <v>19383</v>
      </c>
      <c r="M214">
        <v>19900</v>
      </c>
      <c r="N214">
        <v>105</v>
      </c>
    </row>
    <row r="215" spans="1:14" x14ac:dyDescent="0.25">
      <c r="A215">
        <v>213</v>
      </c>
      <c r="B215">
        <v>39811234</v>
      </c>
      <c r="C215">
        <v>201147321</v>
      </c>
      <c r="D215">
        <v>200202827</v>
      </c>
      <c r="E215" t="s">
        <v>240</v>
      </c>
      <c r="F215" t="s">
        <v>368</v>
      </c>
      <c r="G215" t="s">
        <v>232</v>
      </c>
      <c r="H215">
        <v>26</v>
      </c>
      <c r="I215">
        <v>31</v>
      </c>
      <c r="J215">
        <v>5</v>
      </c>
      <c r="K215">
        <v>20848.01953125</v>
      </c>
      <c r="L215">
        <v>19383</v>
      </c>
      <c r="M215">
        <v>19900</v>
      </c>
      <c r="N215">
        <v>105</v>
      </c>
    </row>
    <row r="216" spans="1:14" x14ac:dyDescent="0.25">
      <c r="A216">
        <v>214</v>
      </c>
      <c r="B216">
        <v>39811235</v>
      </c>
      <c r="C216">
        <v>200198085</v>
      </c>
      <c r="D216">
        <v>201147322</v>
      </c>
      <c r="E216" t="s">
        <v>247</v>
      </c>
      <c r="F216" t="s">
        <v>369</v>
      </c>
      <c r="G216" t="s">
        <v>235</v>
      </c>
      <c r="H216">
        <v>82</v>
      </c>
      <c r="I216">
        <v>105</v>
      </c>
      <c r="J216">
        <v>23</v>
      </c>
      <c r="K216">
        <v>9536.4501953125</v>
      </c>
      <c r="L216">
        <v>9003</v>
      </c>
      <c r="M216">
        <v>7800</v>
      </c>
      <c r="N216">
        <v>122</v>
      </c>
    </row>
    <row r="217" spans="1:14" x14ac:dyDescent="0.25">
      <c r="A217">
        <v>215</v>
      </c>
      <c r="B217">
        <v>39811235</v>
      </c>
      <c r="C217">
        <v>201147322</v>
      </c>
      <c r="D217">
        <v>200198085</v>
      </c>
      <c r="E217" t="s">
        <v>247</v>
      </c>
      <c r="F217" t="s">
        <v>369</v>
      </c>
      <c r="G217" t="s">
        <v>235</v>
      </c>
      <c r="H217">
        <v>82</v>
      </c>
      <c r="I217">
        <v>95</v>
      </c>
      <c r="J217">
        <v>12</v>
      </c>
      <c r="K217">
        <v>8182.740234375</v>
      </c>
      <c r="L217">
        <v>7964</v>
      </c>
      <c r="M217">
        <v>7800</v>
      </c>
      <c r="N217">
        <v>105</v>
      </c>
    </row>
    <row r="218" spans="1:14" x14ac:dyDescent="0.25">
      <c r="A218">
        <v>216</v>
      </c>
      <c r="B218">
        <v>39811236</v>
      </c>
      <c r="C218">
        <v>200206100</v>
      </c>
      <c r="D218">
        <v>201147322</v>
      </c>
      <c r="E218" t="s">
        <v>247</v>
      </c>
      <c r="F218" t="s">
        <v>370</v>
      </c>
      <c r="G218" t="s">
        <v>235</v>
      </c>
      <c r="H218">
        <v>16</v>
      </c>
      <c r="I218">
        <v>19</v>
      </c>
      <c r="J218">
        <v>3</v>
      </c>
      <c r="K218">
        <v>8852.2900390625</v>
      </c>
      <c r="L218">
        <v>8709</v>
      </c>
      <c r="M218">
        <v>7800</v>
      </c>
      <c r="N218">
        <v>113</v>
      </c>
    </row>
    <row r="219" spans="1:14" x14ac:dyDescent="0.25">
      <c r="A219">
        <v>217</v>
      </c>
      <c r="B219">
        <v>39811236</v>
      </c>
      <c r="C219">
        <v>201147322</v>
      </c>
      <c r="D219">
        <v>200206100</v>
      </c>
      <c r="E219" t="s">
        <v>247</v>
      </c>
      <c r="F219" t="s">
        <v>370</v>
      </c>
      <c r="G219" t="s">
        <v>235</v>
      </c>
      <c r="H219">
        <v>16</v>
      </c>
      <c r="I219">
        <v>18</v>
      </c>
      <c r="J219">
        <v>1</v>
      </c>
      <c r="K219">
        <v>6787.56005859375</v>
      </c>
      <c r="L219">
        <v>6621</v>
      </c>
      <c r="M219">
        <v>7800</v>
      </c>
      <c r="N219">
        <v>87</v>
      </c>
    </row>
    <row r="220" spans="1:14" x14ac:dyDescent="0.25">
      <c r="A220">
        <v>218</v>
      </c>
      <c r="B220">
        <v>39811238</v>
      </c>
      <c r="C220">
        <v>201147320</v>
      </c>
      <c r="D220">
        <v>201147322</v>
      </c>
      <c r="E220" t="s">
        <v>213</v>
      </c>
      <c r="F220" t="s">
        <v>371</v>
      </c>
      <c r="G220" t="s">
        <v>215</v>
      </c>
      <c r="H220">
        <v>9</v>
      </c>
      <c r="I220">
        <v>10</v>
      </c>
      <c r="J220">
        <v>0</v>
      </c>
      <c r="K220">
        <v>2298.239990234375</v>
      </c>
      <c r="L220">
        <v>2261</v>
      </c>
      <c r="M220">
        <v>6500</v>
      </c>
      <c r="N220">
        <v>35</v>
      </c>
    </row>
    <row r="221" spans="1:14" x14ac:dyDescent="0.25">
      <c r="A221">
        <v>219</v>
      </c>
      <c r="B221">
        <v>39811238</v>
      </c>
      <c r="C221">
        <v>201147322</v>
      </c>
      <c r="D221">
        <v>201147320</v>
      </c>
      <c r="E221" t="s">
        <v>213</v>
      </c>
      <c r="F221" t="s">
        <v>371</v>
      </c>
      <c r="G221" t="s">
        <v>215</v>
      </c>
      <c r="H221">
        <v>9</v>
      </c>
      <c r="I221">
        <v>10</v>
      </c>
      <c r="J221">
        <v>0</v>
      </c>
      <c r="K221">
        <v>2374.800048828125</v>
      </c>
      <c r="L221">
        <v>2340</v>
      </c>
      <c r="M221">
        <v>6500</v>
      </c>
      <c r="N221">
        <v>37</v>
      </c>
    </row>
    <row r="222" spans="1:14" x14ac:dyDescent="0.25">
      <c r="A222">
        <v>220</v>
      </c>
      <c r="B222">
        <v>39811240</v>
      </c>
      <c r="C222">
        <v>201147322</v>
      </c>
      <c r="D222">
        <v>201147323</v>
      </c>
      <c r="E222" t="s">
        <v>213</v>
      </c>
      <c r="F222" t="s">
        <v>331</v>
      </c>
      <c r="G222" t="s">
        <v>215</v>
      </c>
      <c r="H222">
        <v>89</v>
      </c>
      <c r="I222">
        <v>132</v>
      </c>
      <c r="J222">
        <v>43</v>
      </c>
      <c r="K222">
        <v>7117.52001953125</v>
      </c>
      <c r="L222">
        <v>6579</v>
      </c>
      <c r="M222">
        <v>6500</v>
      </c>
      <c r="N222">
        <v>110</v>
      </c>
    </row>
    <row r="223" spans="1:14" x14ac:dyDescent="0.25">
      <c r="A223">
        <v>221</v>
      </c>
      <c r="B223">
        <v>39811240</v>
      </c>
      <c r="C223">
        <v>201147323</v>
      </c>
      <c r="D223">
        <v>201147322</v>
      </c>
      <c r="E223" t="s">
        <v>213</v>
      </c>
      <c r="F223" t="s">
        <v>331</v>
      </c>
      <c r="G223" t="s">
        <v>215</v>
      </c>
      <c r="H223">
        <v>89</v>
      </c>
      <c r="I223">
        <v>194</v>
      </c>
      <c r="J223">
        <v>5</v>
      </c>
      <c r="K223">
        <v>3775.64990234375</v>
      </c>
      <c r="L223">
        <v>3531</v>
      </c>
      <c r="M223">
        <v>6500</v>
      </c>
      <c r="N223">
        <v>58</v>
      </c>
    </row>
    <row r="224" spans="1:14" x14ac:dyDescent="0.25">
      <c r="A224">
        <v>222</v>
      </c>
      <c r="B224">
        <v>39811241</v>
      </c>
      <c r="C224">
        <v>201147313</v>
      </c>
      <c r="D224">
        <v>201147323</v>
      </c>
      <c r="E224" t="s">
        <v>213</v>
      </c>
      <c r="F224" t="s">
        <v>381</v>
      </c>
      <c r="G224" t="s">
        <v>215</v>
      </c>
      <c r="H224">
        <v>3</v>
      </c>
      <c r="I224">
        <v>3</v>
      </c>
      <c r="J224">
        <v>0</v>
      </c>
      <c r="K224">
        <v>3775.64990234375</v>
      </c>
      <c r="L224">
        <v>3531</v>
      </c>
      <c r="M224">
        <v>6500</v>
      </c>
      <c r="N224">
        <v>58</v>
      </c>
    </row>
    <row r="225" spans="1:14" x14ac:dyDescent="0.25">
      <c r="A225">
        <v>223</v>
      </c>
      <c r="B225">
        <v>39811241</v>
      </c>
      <c r="C225">
        <v>201147323</v>
      </c>
      <c r="D225">
        <v>201147313</v>
      </c>
      <c r="E225" t="s">
        <v>213</v>
      </c>
      <c r="F225" t="s">
        <v>381</v>
      </c>
      <c r="G225" t="s">
        <v>215</v>
      </c>
      <c r="H225">
        <v>3</v>
      </c>
      <c r="I225">
        <v>5</v>
      </c>
      <c r="J225">
        <v>1</v>
      </c>
      <c r="K225">
        <v>7117.52001953125</v>
      </c>
      <c r="L225">
        <v>6579</v>
      </c>
      <c r="M225">
        <v>6500</v>
      </c>
      <c r="N225">
        <v>110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90C09-B75F-4990-9908-5038385C3276}">
  <dimension ref="A1:R29"/>
  <sheetViews>
    <sheetView workbookViewId="0">
      <selection activeCell="C2" sqref="C2"/>
    </sheetView>
  </sheetViews>
  <sheetFormatPr defaultRowHeight="15" x14ac:dyDescent="0.25"/>
  <cols>
    <col min="1" max="1" width="22.7109375" bestFit="1" customWidth="1"/>
    <col min="2" max="2" width="12" bestFit="1" customWidth="1"/>
    <col min="3" max="4" width="9" bestFit="1" customWidth="1"/>
    <col min="5" max="5" width="12" bestFit="1" customWidth="1"/>
    <col min="6" max="7" width="6" bestFit="1" customWidth="1"/>
    <col min="8" max="8" width="12" bestFit="1" customWidth="1"/>
    <col min="9" max="9" width="24.42578125" bestFit="1" customWidth="1"/>
    <col min="10" max="10" width="13.7109375" bestFit="1" customWidth="1"/>
    <col min="11" max="11" width="12" bestFit="1" customWidth="1"/>
    <col min="12" max="13" width="9" bestFit="1" customWidth="1"/>
    <col min="14" max="14" width="12" bestFit="1" customWidth="1"/>
    <col min="15" max="16" width="9.42578125" customWidth="1"/>
    <col min="17" max="17" width="12" bestFit="1" customWidth="1"/>
  </cols>
  <sheetData>
    <row r="1" spans="1:18" x14ac:dyDescent="0.25">
      <c r="A1" s="16" t="s">
        <v>555</v>
      </c>
      <c r="B1" s="15"/>
      <c r="C1" s="54"/>
      <c r="D1" s="54"/>
      <c r="E1" s="55" t="s">
        <v>556</v>
      </c>
      <c r="F1" s="56"/>
      <c r="G1" s="56"/>
      <c r="H1" s="56" t="s">
        <v>557</v>
      </c>
      <c r="I1" s="57"/>
      <c r="J1" s="58" t="s">
        <v>558</v>
      </c>
      <c r="K1" s="58"/>
      <c r="L1" s="54"/>
      <c r="M1" s="54"/>
      <c r="N1" s="55" t="s">
        <v>556</v>
      </c>
      <c r="O1" s="56"/>
      <c r="P1" s="56"/>
      <c r="Q1" s="56" t="s">
        <v>557</v>
      </c>
    </row>
    <row r="2" spans="1:18" x14ac:dyDescent="0.25">
      <c r="A2" s="15">
        <v>0.317</v>
      </c>
      <c r="B2" s="15">
        <f>A2/A9</f>
        <v>0.14461678832116787</v>
      </c>
      <c r="C2" s="15">
        <v>13596.77</v>
      </c>
      <c r="D2" s="15">
        <v>13104.7</v>
      </c>
      <c r="E2" s="15">
        <f t="shared" ref="E2:E8" si="0">SUM(C2:D2)</f>
        <v>26701.47</v>
      </c>
      <c r="F2" s="15">
        <v>11065</v>
      </c>
      <c r="G2" s="15">
        <v>11360</v>
      </c>
      <c r="H2" s="15">
        <f t="shared" ref="H2:H8" si="1">SUM(F2:G2)</f>
        <v>22425</v>
      </c>
      <c r="J2" s="15">
        <v>6.9000000000000006E-2</v>
      </c>
      <c r="K2" s="15">
        <f>J2/$J$6</f>
        <v>3.6624203821656057E-2</v>
      </c>
      <c r="L2" s="15">
        <v>18817.55</v>
      </c>
      <c r="M2" s="15">
        <v>16672.97</v>
      </c>
      <c r="N2" s="15">
        <f>SUM(L2:M2)</f>
        <v>35490.520000000004</v>
      </c>
      <c r="O2" s="15">
        <v>13626</v>
      </c>
      <c r="P2" s="15">
        <v>15777</v>
      </c>
      <c r="Q2" s="15">
        <f>SUM(O2:P2)</f>
        <v>29403</v>
      </c>
    </row>
    <row r="3" spans="1:18" x14ac:dyDescent="0.25">
      <c r="A3" s="15">
        <v>0.18</v>
      </c>
      <c r="B3" s="15">
        <f>A3/A9</f>
        <v>8.211678832116788E-2</v>
      </c>
      <c r="C3" s="15">
        <v>11564.46</v>
      </c>
      <c r="D3" s="15">
        <v>12209.86</v>
      </c>
      <c r="E3" s="15">
        <f t="shared" si="0"/>
        <v>23774.32</v>
      </c>
      <c r="F3" s="15">
        <v>9607</v>
      </c>
      <c r="G3" s="15">
        <v>9988</v>
      </c>
      <c r="H3" s="15">
        <f t="shared" si="1"/>
        <v>19595</v>
      </c>
      <c r="J3" s="15">
        <v>0.41199999999999998</v>
      </c>
      <c r="K3" s="15">
        <f t="shared" ref="K3:K5" si="2">J3/$J$6</f>
        <v>0.21868365180467092</v>
      </c>
      <c r="L3" s="15">
        <v>15397.5</v>
      </c>
      <c r="M3" s="15">
        <v>21978.51</v>
      </c>
      <c r="N3" s="15">
        <f>SUM(L3:M3)</f>
        <v>37376.009999999995</v>
      </c>
      <c r="O3" s="15">
        <v>18204</v>
      </c>
      <c r="P3" s="15">
        <v>12568</v>
      </c>
      <c r="Q3" s="15">
        <f>SUM(O3:P3)</f>
        <v>30772</v>
      </c>
    </row>
    <row r="4" spans="1:18" x14ac:dyDescent="0.25">
      <c r="A4" s="15">
        <v>0.23200000000000001</v>
      </c>
      <c r="B4" s="15">
        <f>A4/A9</f>
        <v>0.10583941605839416</v>
      </c>
      <c r="C4" s="15">
        <v>13503.37</v>
      </c>
      <c r="D4" s="15">
        <v>12708.66</v>
      </c>
      <c r="E4" s="15">
        <f t="shared" si="0"/>
        <v>26212.03</v>
      </c>
      <c r="F4" s="15">
        <v>10951</v>
      </c>
      <c r="G4" s="15">
        <v>10441</v>
      </c>
      <c r="H4" s="15">
        <f t="shared" si="1"/>
        <v>21392</v>
      </c>
      <c r="J4" s="15">
        <v>0.52700000000000002</v>
      </c>
      <c r="K4" s="15">
        <f t="shared" si="2"/>
        <v>0.27972399150743105</v>
      </c>
      <c r="L4" s="15">
        <v>20369.75</v>
      </c>
      <c r="M4" s="15">
        <v>16460.91</v>
      </c>
      <c r="N4" s="15">
        <f>SUM(L4:M4)</f>
        <v>36830.660000000003</v>
      </c>
      <c r="O4" s="15">
        <v>16806</v>
      </c>
      <c r="P4" s="15">
        <v>13625</v>
      </c>
      <c r="Q4" s="15">
        <f>SUM(O4:P4)</f>
        <v>30431</v>
      </c>
    </row>
    <row r="5" spans="1:18" x14ac:dyDescent="0.25">
      <c r="A5" s="15">
        <v>0.21</v>
      </c>
      <c r="B5" s="15">
        <f>A5/A9</f>
        <v>9.5802919708029191E-2</v>
      </c>
      <c r="C5" s="15">
        <v>8683.16</v>
      </c>
      <c r="D5" s="15">
        <v>8862.9500000000007</v>
      </c>
      <c r="E5" s="15">
        <f t="shared" si="0"/>
        <v>17546.11</v>
      </c>
      <c r="F5" s="15">
        <v>7825</v>
      </c>
      <c r="G5" s="15">
        <v>8111</v>
      </c>
      <c r="H5" s="15">
        <f t="shared" si="1"/>
        <v>15936</v>
      </c>
      <c r="J5" s="15">
        <v>0.876</v>
      </c>
      <c r="K5" s="15">
        <f t="shared" si="2"/>
        <v>0.46496815286624205</v>
      </c>
      <c r="L5" s="15">
        <v>11030.58</v>
      </c>
      <c r="M5" s="15">
        <v>13574.95</v>
      </c>
      <c r="N5" s="15">
        <f>SUM(L5:M5)</f>
        <v>24605.53</v>
      </c>
      <c r="O5" s="15">
        <v>9786</v>
      </c>
      <c r="P5" s="15">
        <v>11752</v>
      </c>
      <c r="Q5" s="15">
        <f>SUM(O5:P5)</f>
        <v>21538</v>
      </c>
    </row>
    <row r="6" spans="1:18" x14ac:dyDescent="0.25">
      <c r="A6" s="15">
        <v>1.0760000000000001</v>
      </c>
      <c r="B6" s="15">
        <f>A6/A9</f>
        <v>0.49087591240875911</v>
      </c>
      <c r="C6" s="15">
        <v>8685.51</v>
      </c>
      <c r="D6" s="15">
        <v>8431.06</v>
      </c>
      <c r="E6" s="15">
        <f t="shared" si="0"/>
        <v>17116.57</v>
      </c>
      <c r="F6" s="15">
        <v>7684</v>
      </c>
      <c r="G6" s="15">
        <v>8035</v>
      </c>
      <c r="H6" s="15">
        <f t="shared" si="1"/>
        <v>15719</v>
      </c>
      <c r="J6" s="15">
        <f>SUM(J2:J5)</f>
        <v>1.8839999999999999</v>
      </c>
      <c r="K6" s="15">
        <f>SUM(K2:K5)</f>
        <v>1</v>
      </c>
      <c r="L6" s="15"/>
      <c r="M6" s="15"/>
      <c r="N6" s="16" t="s">
        <v>559</v>
      </c>
      <c r="O6" s="15"/>
      <c r="P6" s="15"/>
      <c r="Q6" s="16" t="s">
        <v>559</v>
      </c>
    </row>
    <row r="7" spans="1:18" x14ac:dyDescent="0.25">
      <c r="A7" s="15">
        <v>0.108</v>
      </c>
      <c r="B7" s="15">
        <f>A7/A9</f>
        <v>4.9270072992700725E-2</v>
      </c>
      <c r="C7" s="15">
        <v>9119.58</v>
      </c>
      <c r="D7" s="15">
        <v>8905.0499999999993</v>
      </c>
      <c r="E7" s="15">
        <f t="shared" si="0"/>
        <v>18024.629999999997</v>
      </c>
      <c r="F7" s="15">
        <v>7954</v>
      </c>
      <c r="G7" s="15">
        <v>8380</v>
      </c>
      <c r="H7" s="15">
        <f t="shared" si="1"/>
        <v>16334</v>
      </c>
      <c r="J7" s="15"/>
      <c r="K7" s="15"/>
      <c r="L7" s="15"/>
      <c r="M7" s="15"/>
      <c r="N7" s="15">
        <f>K2*N2</f>
        <v>1299.8120382165609</v>
      </c>
      <c r="O7" s="15"/>
      <c r="P7" s="15"/>
      <c r="Q7" s="15">
        <f>K2*Q2</f>
        <v>1076.8614649681531</v>
      </c>
    </row>
    <row r="8" spans="1:18" x14ac:dyDescent="0.25">
      <c r="A8" s="15">
        <v>6.9000000000000006E-2</v>
      </c>
      <c r="B8" s="15">
        <f>A8/A9</f>
        <v>3.1478102189781025E-2</v>
      </c>
      <c r="C8" s="15">
        <v>16368.45</v>
      </c>
      <c r="D8" s="15">
        <v>9268.49</v>
      </c>
      <c r="E8" s="15">
        <f t="shared" si="0"/>
        <v>25636.940000000002</v>
      </c>
      <c r="F8" s="15">
        <v>7471</v>
      </c>
      <c r="G8" s="15">
        <v>13781</v>
      </c>
      <c r="H8" s="15">
        <f t="shared" si="1"/>
        <v>21252</v>
      </c>
      <c r="J8" s="15"/>
      <c r="K8" s="15"/>
      <c r="L8" s="15"/>
      <c r="M8" s="15"/>
      <c r="N8" s="15">
        <f t="shared" ref="N8:N10" si="3">K3*N3</f>
        <v>8173.5223566878976</v>
      </c>
      <c r="O8" s="15"/>
      <c r="P8" s="15"/>
      <c r="Q8" s="15">
        <f t="shared" ref="Q8:Q10" si="4">K3*Q3</f>
        <v>6729.3333333333339</v>
      </c>
    </row>
    <row r="9" spans="1:18" x14ac:dyDescent="0.25">
      <c r="A9" s="15">
        <f>SUM(A2:A8)</f>
        <v>2.1920000000000002</v>
      </c>
      <c r="B9" s="15">
        <f>SUM(B2:B8)</f>
        <v>0.99999999999999978</v>
      </c>
      <c r="C9" s="15"/>
      <c r="D9" s="15"/>
      <c r="E9" s="16" t="s">
        <v>559</v>
      </c>
      <c r="F9" s="15"/>
      <c r="G9" s="15"/>
      <c r="H9" s="16" t="s">
        <v>559</v>
      </c>
      <c r="I9" s="12"/>
      <c r="J9" s="15"/>
      <c r="K9" s="15"/>
      <c r="L9" s="15"/>
      <c r="M9" s="15"/>
      <c r="N9" s="15">
        <f t="shared" si="3"/>
        <v>10302.419225053081</v>
      </c>
      <c r="O9" s="15"/>
      <c r="P9" s="15"/>
      <c r="Q9" s="15">
        <f t="shared" si="4"/>
        <v>8512.2807855626343</v>
      </c>
    </row>
    <row r="10" spans="1:18" x14ac:dyDescent="0.25">
      <c r="A10" s="15"/>
      <c r="B10" s="15"/>
      <c r="C10" s="15"/>
      <c r="D10" s="15"/>
      <c r="E10" s="15">
        <f>B2*E2</f>
        <v>3861.4808348540141</v>
      </c>
      <c r="F10" s="15"/>
      <c r="G10" s="15"/>
      <c r="H10" s="15">
        <f t="shared" ref="H10:H15" si="5">B2*H2</f>
        <v>3243.0314781021893</v>
      </c>
      <c r="J10" s="15"/>
      <c r="K10" s="15"/>
      <c r="L10" s="15"/>
      <c r="M10" s="15"/>
      <c r="N10" s="15">
        <f t="shared" si="3"/>
        <v>11440.787834394903</v>
      </c>
      <c r="O10" s="15"/>
      <c r="P10" s="15"/>
      <c r="Q10" s="15">
        <f t="shared" si="4"/>
        <v>10014.484076433122</v>
      </c>
    </row>
    <row r="11" spans="1:18" x14ac:dyDescent="0.25">
      <c r="A11" s="15"/>
      <c r="B11" s="15"/>
      <c r="C11" s="15"/>
      <c r="D11" s="15"/>
      <c r="E11" s="15">
        <f t="shared" ref="E11:E15" si="6">B3*E3</f>
        <v>1952.2708029197079</v>
      </c>
      <c r="F11" s="15"/>
      <c r="G11" s="15"/>
      <c r="H11" s="15">
        <f t="shared" si="5"/>
        <v>1609.0784671532847</v>
      </c>
      <c r="J11" s="15"/>
      <c r="K11" s="15"/>
      <c r="L11" s="15"/>
      <c r="M11" s="15"/>
      <c r="N11" s="59">
        <f>SUM(N7:N10)</f>
        <v>31216.541454352446</v>
      </c>
      <c r="O11" s="15"/>
      <c r="P11" s="15"/>
      <c r="Q11" s="59">
        <f>SUM(Q7:Q10)</f>
        <v>26332.959660297245</v>
      </c>
      <c r="R11" s="12" t="s">
        <v>560</v>
      </c>
    </row>
    <row r="12" spans="1:18" x14ac:dyDescent="0.25">
      <c r="A12" s="15"/>
      <c r="B12" s="15"/>
      <c r="C12" s="15"/>
      <c r="D12" s="15"/>
      <c r="E12" s="15">
        <f t="shared" si="6"/>
        <v>2774.2659489051093</v>
      </c>
      <c r="F12" s="15"/>
      <c r="G12" s="15"/>
      <c r="H12" s="15">
        <f t="shared" si="5"/>
        <v>2264.1167883211679</v>
      </c>
      <c r="J12" s="15"/>
      <c r="K12" s="15"/>
      <c r="L12" s="15"/>
      <c r="M12" s="15"/>
      <c r="N12" s="15"/>
      <c r="O12" s="15"/>
      <c r="P12" s="15"/>
      <c r="Q12" s="15"/>
    </row>
    <row r="13" spans="1:18" x14ac:dyDescent="0.25">
      <c r="A13" s="15"/>
      <c r="B13" s="15"/>
      <c r="C13" s="15"/>
      <c r="D13" s="15"/>
      <c r="E13" s="15">
        <f t="shared" si="6"/>
        <v>1680.9685675182482</v>
      </c>
      <c r="F13" s="15"/>
      <c r="G13" s="15"/>
      <c r="H13" s="15">
        <f t="shared" si="5"/>
        <v>1526.7153284671531</v>
      </c>
      <c r="J13" s="15"/>
      <c r="K13" s="15"/>
      <c r="L13" s="15"/>
      <c r="M13" s="15"/>
      <c r="N13" s="15"/>
      <c r="O13" s="15"/>
      <c r="P13" s="15"/>
      <c r="Q13" s="15"/>
    </row>
    <row r="14" spans="1:18" x14ac:dyDescent="0.25">
      <c r="A14" s="15"/>
      <c r="B14" s="15"/>
      <c r="C14" s="15"/>
      <c r="D14" s="15"/>
      <c r="E14" s="15">
        <f t="shared" si="6"/>
        <v>8402.111916058393</v>
      </c>
      <c r="F14" s="15"/>
      <c r="G14" s="15"/>
      <c r="H14" s="15">
        <f t="shared" si="5"/>
        <v>7716.0784671532847</v>
      </c>
      <c r="J14" s="15"/>
      <c r="K14" s="15"/>
      <c r="L14" s="15"/>
      <c r="M14" s="15"/>
      <c r="N14" s="15"/>
      <c r="O14" s="15"/>
      <c r="P14" s="15"/>
      <c r="Q14" s="15"/>
    </row>
    <row r="15" spans="1:18" x14ac:dyDescent="0.25">
      <c r="A15" s="15"/>
      <c r="B15" s="15"/>
      <c r="C15" s="15"/>
      <c r="D15" s="15"/>
      <c r="E15" s="15">
        <f t="shared" si="6"/>
        <v>888.07483576642312</v>
      </c>
      <c r="F15" s="15"/>
      <c r="G15" s="15"/>
      <c r="H15" s="15">
        <f t="shared" si="5"/>
        <v>804.77737226277361</v>
      </c>
      <c r="J15" s="15"/>
      <c r="K15" s="15"/>
      <c r="L15" s="15"/>
      <c r="M15" s="15"/>
      <c r="N15" s="15"/>
      <c r="O15" s="15"/>
      <c r="P15" s="15"/>
      <c r="Q15" s="15"/>
    </row>
    <row r="16" spans="1:18" x14ac:dyDescent="0.25">
      <c r="A16" s="15"/>
      <c r="B16" s="15"/>
      <c r="C16" s="15"/>
      <c r="D16" s="15"/>
      <c r="E16" s="15">
        <f>A8*E8</f>
        <v>1768.9488600000002</v>
      </c>
      <c r="F16" s="15"/>
      <c r="G16" s="15"/>
      <c r="H16" s="15">
        <f>A8*H8</f>
        <v>1466.3880000000001</v>
      </c>
      <c r="J16" s="15"/>
      <c r="K16" s="15"/>
      <c r="L16" s="15"/>
      <c r="M16" s="15"/>
      <c r="N16" s="15"/>
      <c r="O16" s="15"/>
      <c r="P16" s="15"/>
      <c r="Q16" s="15"/>
    </row>
    <row r="17" spans="1:18" x14ac:dyDescent="0.25">
      <c r="A17" s="15"/>
      <c r="B17" s="15"/>
      <c r="C17" s="15"/>
      <c r="D17" s="16" t="s">
        <v>561</v>
      </c>
      <c r="E17" s="59">
        <f>SUM(E10:E16)</f>
        <v>21328.121766021897</v>
      </c>
      <c r="F17" s="15"/>
      <c r="G17" s="16" t="s">
        <v>561</v>
      </c>
      <c r="H17" s="59">
        <f>SUM(H10:H16)</f>
        <v>18630.185901459852</v>
      </c>
      <c r="I17" s="12" t="s">
        <v>562</v>
      </c>
      <c r="J17" s="15"/>
      <c r="L17" s="15"/>
      <c r="M17" s="15"/>
      <c r="N17" s="15"/>
      <c r="O17" s="15"/>
      <c r="P17" s="15"/>
      <c r="Q17" s="15"/>
    </row>
    <row r="18" spans="1:18" x14ac:dyDescent="0.25">
      <c r="A18" s="15"/>
      <c r="B18" s="15"/>
      <c r="C18" s="15"/>
      <c r="D18" s="15"/>
      <c r="E18" s="15"/>
      <c r="F18" s="15"/>
      <c r="G18" s="15"/>
      <c r="H18" s="15"/>
      <c r="J18" s="15"/>
      <c r="K18" s="15"/>
      <c r="L18" s="15"/>
      <c r="M18" s="15"/>
      <c r="N18" s="15"/>
      <c r="O18" s="15"/>
      <c r="P18" s="15"/>
      <c r="Q18" s="15"/>
    </row>
    <row r="19" spans="1:18" x14ac:dyDescent="0.25">
      <c r="A19" s="16" t="s">
        <v>734</v>
      </c>
      <c r="B19" s="15"/>
      <c r="C19" s="15"/>
      <c r="D19" s="15"/>
      <c r="E19" s="15"/>
      <c r="F19" s="15"/>
      <c r="G19" s="15"/>
      <c r="H19" s="15"/>
      <c r="J19" s="15"/>
      <c r="K19" s="15"/>
      <c r="L19" s="15"/>
      <c r="M19" s="15"/>
      <c r="N19" s="15"/>
      <c r="O19" s="15"/>
      <c r="P19" s="15"/>
      <c r="Q19" s="15"/>
    </row>
    <row r="20" spans="1:18" x14ac:dyDescent="0.25">
      <c r="A20" s="15">
        <v>6.9000000000000006E-2</v>
      </c>
      <c r="B20" s="15">
        <f>A20/$A$24</f>
        <v>4.1541240216736906E-2</v>
      </c>
      <c r="C20" s="15">
        <v>16368.45</v>
      </c>
      <c r="D20" s="15">
        <v>9268.49</v>
      </c>
      <c r="E20" s="15">
        <v>25636.940000000002</v>
      </c>
      <c r="F20" s="15">
        <v>7471</v>
      </c>
      <c r="G20" s="15">
        <v>13781</v>
      </c>
      <c r="H20" s="15">
        <v>21252</v>
      </c>
      <c r="J20" s="15">
        <v>0.69</v>
      </c>
      <c r="K20" s="15">
        <v>4.1541240216736906E-2</v>
      </c>
      <c r="L20" s="15">
        <v>18817.55</v>
      </c>
      <c r="M20" s="15">
        <v>16672.97</v>
      </c>
      <c r="N20" s="15">
        <f>SUM(L20:M20)</f>
        <v>35490.520000000004</v>
      </c>
      <c r="O20" s="15">
        <v>15777</v>
      </c>
      <c r="P20" s="15">
        <v>13626</v>
      </c>
      <c r="Q20" s="15">
        <f>SUM(O20:P20)</f>
        <v>29403</v>
      </c>
    </row>
    <row r="21" spans="1:18" x14ac:dyDescent="0.25">
      <c r="A21" s="15">
        <v>0.48099999999999998</v>
      </c>
      <c r="B21" s="15">
        <f t="shared" ref="B21:B23" si="7">A21/$A$24</f>
        <v>0.28958458759783262</v>
      </c>
      <c r="C21" s="15">
        <v>16085.55</v>
      </c>
      <c r="D21" s="15">
        <v>13545.01</v>
      </c>
      <c r="E21" s="15">
        <f>SUM(C21:D21)</f>
        <v>29630.559999999998</v>
      </c>
      <c r="F21" s="15">
        <v>11346</v>
      </c>
      <c r="G21" s="15">
        <v>13537</v>
      </c>
      <c r="H21" s="15">
        <f>SUM(F21:G21)</f>
        <v>24883</v>
      </c>
      <c r="J21" s="15">
        <v>0.48099999999999998</v>
      </c>
      <c r="K21" s="15">
        <v>0.28958458759783262</v>
      </c>
      <c r="L21" s="15">
        <v>18509.169999999998</v>
      </c>
      <c r="M21" s="15">
        <v>16992.82</v>
      </c>
      <c r="N21" s="15">
        <f>SUM(L21:M21)</f>
        <v>35501.99</v>
      </c>
      <c r="O21" s="15">
        <v>15677</v>
      </c>
      <c r="P21" s="15">
        <v>14123</v>
      </c>
      <c r="Q21" s="15">
        <f>SUM(O21:P21)</f>
        <v>29800</v>
      </c>
    </row>
    <row r="22" spans="1:18" x14ac:dyDescent="0.25">
      <c r="A22" s="15">
        <v>1.01</v>
      </c>
      <c r="B22" s="15">
        <f t="shared" si="7"/>
        <v>0.60806742925948221</v>
      </c>
      <c r="C22" s="15">
        <v>15811.74</v>
      </c>
      <c r="D22" s="15">
        <v>12646.47</v>
      </c>
      <c r="E22" s="15">
        <f>SUM(C22:D22)</f>
        <v>28458.21</v>
      </c>
      <c r="F22" s="15">
        <v>13320</v>
      </c>
      <c r="G22" s="15">
        <v>10568</v>
      </c>
      <c r="H22" s="15">
        <f>SUM(F22:G22)</f>
        <v>23888</v>
      </c>
      <c r="J22" s="15">
        <v>1.01</v>
      </c>
      <c r="K22" s="15">
        <v>0.60806742925948221</v>
      </c>
      <c r="L22" s="15">
        <v>15978.55</v>
      </c>
      <c r="M22" s="15">
        <v>18118.46</v>
      </c>
      <c r="N22" s="15">
        <f>SUM(L22:M22)</f>
        <v>34097.009999999995</v>
      </c>
      <c r="O22" s="15">
        <v>13241</v>
      </c>
      <c r="P22" s="15">
        <v>15354</v>
      </c>
      <c r="Q22" s="15">
        <f>SUM(O22:P22)</f>
        <v>28595</v>
      </c>
    </row>
    <row r="23" spans="1:18" x14ac:dyDescent="0.25">
      <c r="A23" s="15">
        <v>0.10100000000000001</v>
      </c>
      <c r="B23" s="15">
        <f t="shared" si="7"/>
        <v>6.0806742925948225E-2</v>
      </c>
      <c r="C23" s="15">
        <v>14141.09</v>
      </c>
      <c r="D23" s="15">
        <v>10461.950000000001</v>
      </c>
      <c r="E23" s="15">
        <f>SUM(C23:D23)</f>
        <v>24603.040000000001</v>
      </c>
      <c r="F23" s="15">
        <v>11823</v>
      </c>
      <c r="G23" s="15">
        <v>8611</v>
      </c>
      <c r="H23" s="15">
        <f>SUM(F23:G23)</f>
        <v>20434</v>
      </c>
      <c r="J23" s="15">
        <v>0.10100000000000001</v>
      </c>
      <c r="K23" s="15">
        <v>6.0806742925948225E-2</v>
      </c>
      <c r="L23" s="15">
        <v>13367.47</v>
      </c>
      <c r="M23" s="15">
        <v>15846.49</v>
      </c>
      <c r="N23" s="15">
        <f>SUM(L23:M23)</f>
        <v>29213.96</v>
      </c>
      <c r="O23" s="15">
        <v>10955</v>
      </c>
      <c r="P23" s="15">
        <v>13373</v>
      </c>
      <c r="Q23" s="15">
        <f>SUM(O23:P23)</f>
        <v>24328</v>
      </c>
    </row>
    <row r="24" spans="1:18" x14ac:dyDescent="0.25">
      <c r="A24" s="15">
        <f>SUM(A20:A23)</f>
        <v>1.661</v>
      </c>
      <c r="B24" s="15">
        <f>SUM(B20:B23)</f>
        <v>1</v>
      </c>
      <c r="C24" s="15"/>
      <c r="D24" s="15"/>
      <c r="E24" s="15"/>
      <c r="F24" s="15"/>
      <c r="G24" s="15"/>
      <c r="H24" s="15"/>
      <c r="J24" s="15"/>
      <c r="K24" s="15"/>
      <c r="L24" s="15"/>
      <c r="M24" s="15"/>
      <c r="N24" s="15"/>
      <c r="O24" s="15"/>
      <c r="P24" s="15"/>
      <c r="Q24" s="15"/>
    </row>
    <row r="25" spans="1:18" x14ac:dyDescent="0.25">
      <c r="A25" s="15"/>
      <c r="B25" s="15"/>
      <c r="C25" s="15"/>
      <c r="D25" s="15"/>
      <c r="E25" s="15">
        <f>B20*E20</f>
        <v>1064.9902829620712</v>
      </c>
      <c r="F25" s="15"/>
      <c r="G25" s="15"/>
      <c r="H25" s="15">
        <f>B20*H20</f>
        <v>882.83443708609275</v>
      </c>
      <c r="J25" s="15"/>
      <c r="K25" s="15"/>
      <c r="L25" s="15"/>
      <c r="M25" s="15"/>
      <c r="N25" s="15">
        <f>K20*N20</f>
        <v>1474.3202167369056</v>
      </c>
      <c r="O25" s="15"/>
      <c r="P25" s="15"/>
      <c r="Q25" s="15">
        <f>K20*Q20</f>
        <v>1221.4370860927152</v>
      </c>
    </row>
    <row r="26" spans="1:18" x14ac:dyDescent="0.25">
      <c r="A26" s="15"/>
      <c r="B26" s="15"/>
      <c r="C26" s="15"/>
      <c r="D26" s="15"/>
      <c r="E26" s="15">
        <f t="shared" ref="E26:E28" si="8">B21*E21</f>
        <v>8580.5534978928354</v>
      </c>
      <c r="F26" s="15"/>
      <c r="G26" s="15"/>
      <c r="H26" s="15">
        <f>B21*H21</f>
        <v>7205.7332931968695</v>
      </c>
      <c r="J26" s="15"/>
      <c r="K26" s="15"/>
      <c r="L26" s="15"/>
      <c r="M26" s="15"/>
      <c r="N26" s="15">
        <f t="shared" ref="N26:N28" si="9">K21*N21</f>
        <v>10280.829133052377</v>
      </c>
      <c r="O26" s="15"/>
      <c r="P26" s="15"/>
      <c r="Q26" s="15">
        <f t="shared" ref="Q26:Q28" si="10">K21*Q21</f>
        <v>8629.6207104154128</v>
      </c>
    </row>
    <row r="27" spans="1:18" x14ac:dyDescent="0.25">
      <c r="A27" s="15"/>
      <c r="B27" s="15"/>
      <c r="C27" s="15"/>
      <c r="D27" s="15"/>
      <c r="E27" s="15">
        <f t="shared" si="8"/>
        <v>17304.510596026488</v>
      </c>
      <c r="F27" s="15"/>
      <c r="G27" s="15"/>
      <c r="H27" s="15">
        <f>B22*H22</f>
        <v>14525.514750150511</v>
      </c>
      <c r="J27" s="15"/>
      <c r="K27" s="15"/>
      <c r="L27" s="15"/>
      <c r="M27" s="15"/>
      <c r="N27" s="15">
        <f t="shared" si="9"/>
        <v>20733.281216134856</v>
      </c>
      <c r="O27" s="15"/>
      <c r="P27" s="15"/>
      <c r="Q27" s="15">
        <f t="shared" si="10"/>
        <v>17387.688139674894</v>
      </c>
    </row>
    <row r="28" spans="1:18" x14ac:dyDescent="0.25">
      <c r="A28" s="15"/>
      <c r="B28" s="15"/>
      <c r="C28" s="15"/>
      <c r="D28" s="15"/>
      <c r="E28" s="15">
        <f t="shared" si="8"/>
        <v>1496.0307284768212</v>
      </c>
      <c r="F28" s="15"/>
      <c r="G28" s="15"/>
      <c r="H28" s="15">
        <f>B23*H23</f>
        <v>1242.5249849488259</v>
      </c>
      <c r="J28" s="15"/>
      <c r="K28" s="15"/>
      <c r="L28" s="15"/>
      <c r="M28" s="15"/>
      <c r="N28" s="15">
        <f t="shared" si="9"/>
        <v>1776.4057555689344</v>
      </c>
      <c r="O28" s="15"/>
      <c r="P28" s="15"/>
      <c r="Q28" s="15">
        <f t="shared" si="10"/>
        <v>1479.3064419024684</v>
      </c>
    </row>
    <row r="29" spans="1:18" x14ac:dyDescent="0.25">
      <c r="A29" s="15"/>
      <c r="B29" s="15"/>
      <c r="C29" s="15"/>
      <c r="D29" s="15"/>
      <c r="E29" s="59">
        <f>SUM(E25:E28)</f>
        <v>28446.085105358216</v>
      </c>
      <c r="F29" s="15"/>
      <c r="G29" s="15"/>
      <c r="H29" s="59">
        <f>SUM(H25:H28)</f>
        <v>23856.607465382298</v>
      </c>
      <c r="I29" s="12" t="s">
        <v>562</v>
      </c>
      <c r="J29" s="15"/>
      <c r="K29" s="15"/>
      <c r="L29" s="15"/>
      <c r="M29" s="15"/>
      <c r="N29" s="59">
        <f>SUM(N25:N28)</f>
        <v>34264.836321493072</v>
      </c>
      <c r="O29" s="15"/>
      <c r="P29" s="15"/>
      <c r="Q29" s="59">
        <f>SUM(Q25:Q28)</f>
        <v>28718.052378085489</v>
      </c>
      <c r="R29" s="12" t="s">
        <v>560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4A2A-36E0-45EB-B6D8-212FC39EC489}">
  <dimension ref="A1:I30"/>
  <sheetViews>
    <sheetView workbookViewId="0">
      <selection activeCell="K8" sqref="K8"/>
    </sheetView>
  </sheetViews>
  <sheetFormatPr defaultRowHeight="15" x14ac:dyDescent="0.25"/>
  <cols>
    <col min="4" max="4" width="14.85546875" customWidth="1"/>
    <col min="9" max="9" width="19.140625" customWidth="1"/>
  </cols>
  <sheetData>
    <row r="1" spans="1:9" x14ac:dyDescent="0.25">
      <c r="A1" s="43"/>
      <c r="B1" s="44"/>
      <c r="C1" s="44" t="s">
        <v>382</v>
      </c>
      <c r="D1" s="44" t="s">
        <v>383</v>
      </c>
      <c r="E1" s="44" t="s">
        <v>384</v>
      </c>
      <c r="F1" s="44"/>
      <c r="G1" s="44"/>
      <c r="H1" s="44"/>
      <c r="I1" s="45"/>
    </row>
    <row r="2" spans="1:9" x14ac:dyDescent="0.25">
      <c r="A2" s="46"/>
      <c r="C2" t="s">
        <v>385</v>
      </c>
      <c r="I2" s="7"/>
    </row>
    <row r="3" spans="1:9" x14ac:dyDescent="0.25">
      <c r="A3" s="46" t="s">
        <v>386</v>
      </c>
      <c r="I3" s="47">
        <v>4009.72</v>
      </c>
    </row>
    <row r="4" spans="1:9" x14ac:dyDescent="0.25">
      <c r="A4" s="46" t="s">
        <v>387</v>
      </c>
      <c r="I4" s="47">
        <v>235.06</v>
      </c>
    </row>
    <row r="5" spans="1:9" x14ac:dyDescent="0.25">
      <c r="A5" s="48" t="s">
        <v>193</v>
      </c>
      <c r="B5" s="49"/>
      <c r="C5" s="49"/>
      <c r="D5" s="49"/>
      <c r="E5" s="49"/>
      <c r="F5" s="49"/>
      <c r="G5" s="49"/>
      <c r="H5" s="50"/>
      <c r="I5" s="51">
        <v>6730.4</v>
      </c>
    </row>
    <row r="6" spans="1:9" x14ac:dyDescent="0.25">
      <c r="A6" s="377" t="s">
        <v>191</v>
      </c>
      <c r="B6" s="280" t="s">
        <v>388</v>
      </c>
      <c r="C6" s="280"/>
      <c r="D6" s="280"/>
      <c r="E6" s="280"/>
      <c r="F6" s="280"/>
      <c r="G6" s="280"/>
      <c r="H6" s="280"/>
      <c r="I6" s="378">
        <f>SUM(I3:I5)</f>
        <v>10975.18</v>
      </c>
    </row>
    <row r="7" spans="1:9" x14ac:dyDescent="0.25">
      <c r="A7" s="377"/>
      <c r="B7" s="280"/>
      <c r="C7" s="280"/>
      <c r="D7" s="280"/>
      <c r="E7" s="280"/>
      <c r="F7" s="280"/>
      <c r="G7" s="280"/>
      <c r="H7" s="280"/>
      <c r="I7" s="379"/>
    </row>
    <row r="8" spans="1:9" x14ac:dyDescent="0.25">
      <c r="A8" s="377"/>
      <c r="B8" s="280"/>
      <c r="C8" s="280"/>
      <c r="D8" s="280"/>
      <c r="E8" s="280"/>
      <c r="F8" s="280"/>
      <c r="G8" s="280"/>
      <c r="H8" s="280"/>
      <c r="I8" s="379"/>
    </row>
    <row r="9" spans="1:9" x14ac:dyDescent="0.25">
      <c r="A9" s="377" t="s">
        <v>389</v>
      </c>
      <c r="B9" s="280"/>
      <c r="C9" s="280"/>
      <c r="D9" s="280"/>
      <c r="E9" s="280"/>
      <c r="F9" s="280"/>
      <c r="G9" s="280"/>
      <c r="H9" s="280"/>
      <c r="I9" s="378">
        <v>2926.13</v>
      </c>
    </row>
    <row r="10" spans="1:9" x14ac:dyDescent="0.25">
      <c r="A10" s="377" t="s">
        <v>387</v>
      </c>
      <c r="B10" s="280"/>
      <c r="C10" s="280"/>
      <c r="D10" s="280"/>
      <c r="E10" s="280"/>
      <c r="F10" s="280"/>
      <c r="G10" s="280"/>
      <c r="H10" s="280"/>
      <c r="I10" s="378">
        <v>1113.79</v>
      </c>
    </row>
    <row r="11" spans="1:9" x14ac:dyDescent="0.25">
      <c r="A11" s="377" t="s">
        <v>192</v>
      </c>
      <c r="B11" s="280" t="s">
        <v>388</v>
      </c>
      <c r="C11" s="280"/>
      <c r="D11" s="280"/>
      <c r="E11" s="280"/>
      <c r="F11" s="280"/>
      <c r="G11" s="280"/>
      <c r="H11" s="280"/>
      <c r="I11" s="378">
        <f>SUM(I9:I10)</f>
        <v>4039.92</v>
      </c>
    </row>
    <row r="12" spans="1:9" x14ac:dyDescent="0.25">
      <c r="A12" s="377"/>
      <c r="B12" s="280"/>
      <c r="C12" s="280"/>
      <c r="D12" s="280"/>
      <c r="E12" s="280"/>
      <c r="F12" s="280"/>
      <c r="G12" s="280"/>
      <c r="H12" s="280"/>
      <c r="I12" s="379"/>
    </row>
    <row r="13" spans="1:9" x14ac:dyDescent="0.25">
      <c r="A13" s="377"/>
      <c r="B13" s="280"/>
      <c r="C13" s="280"/>
      <c r="D13" s="280"/>
      <c r="E13" s="280"/>
      <c r="F13" s="280"/>
      <c r="G13" s="280"/>
      <c r="H13" s="280"/>
      <c r="I13" s="379"/>
    </row>
    <row r="14" spans="1:9" x14ac:dyDescent="0.25">
      <c r="A14" s="377" t="s">
        <v>389</v>
      </c>
      <c r="B14" s="280"/>
      <c r="C14" s="280"/>
      <c r="D14" s="280"/>
      <c r="E14" s="280"/>
      <c r="F14" s="280"/>
      <c r="G14" s="280"/>
      <c r="H14" s="280"/>
      <c r="I14" s="378">
        <v>583.5</v>
      </c>
    </row>
    <row r="15" spans="1:9" x14ac:dyDescent="0.25">
      <c r="A15" s="377" t="s">
        <v>387</v>
      </c>
      <c r="B15" s="280"/>
      <c r="C15" s="280"/>
      <c r="D15" s="280"/>
      <c r="E15" s="280"/>
      <c r="F15" s="280"/>
      <c r="G15" s="280"/>
      <c r="H15" s="280"/>
      <c r="I15" s="378">
        <v>159.13999999999999</v>
      </c>
    </row>
    <row r="16" spans="1:9" x14ac:dyDescent="0.25">
      <c r="A16" s="377" t="s">
        <v>193</v>
      </c>
      <c r="B16" s="280"/>
      <c r="C16" s="280"/>
      <c r="D16" s="280"/>
      <c r="E16" s="280"/>
      <c r="F16" s="280"/>
      <c r="G16" s="280"/>
      <c r="H16" s="280"/>
      <c r="I16" s="378">
        <v>221.02</v>
      </c>
    </row>
    <row r="17" spans="1:9" x14ac:dyDescent="0.25">
      <c r="A17" s="377" t="s">
        <v>390</v>
      </c>
      <c r="B17" s="280" t="s">
        <v>388</v>
      </c>
      <c r="C17" s="280"/>
      <c r="D17" s="280"/>
      <c r="E17" s="280"/>
      <c r="F17" s="280"/>
      <c r="G17" s="280"/>
      <c r="H17" s="280"/>
      <c r="I17" s="378">
        <f>SUM(I14:I16)</f>
        <v>963.66</v>
      </c>
    </row>
    <row r="18" spans="1:9" x14ac:dyDescent="0.25">
      <c r="A18" s="377"/>
      <c r="B18" s="280"/>
      <c r="C18" s="280"/>
      <c r="D18" s="280"/>
      <c r="E18" s="280"/>
      <c r="F18" s="280"/>
      <c r="G18" s="280"/>
      <c r="H18" s="280"/>
      <c r="I18" s="379"/>
    </row>
    <row r="19" spans="1:9" x14ac:dyDescent="0.25">
      <c r="A19" s="377"/>
      <c r="B19" s="280"/>
      <c r="C19" s="280"/>
      <c r="D19" s="280"/>
      <c r="E19" s="280"/>
      <c r="F19" s="280"/>
      <c r="G19" s="280"/>
      <c r="H19" s="280"/>
      <c r="I19" s="379"/>
    </row>
    <row r="20" spans="1:9" x14ac:dyDescent="0.25">
      <c r="A20" s="377" t="s">
        <v>386</v>
      </c>
      <c r="B20" s="280"/>
      <c r="C20" s="280"/>
      <c r="D20" s="280"/>
      <c r="E20" s="280"/>
      <c r="F20" s="280"/>
      <c r="G20" s="280"/>
      <c r="H20" s="280"/>
      <c r="I20" s="378">
        <v>2421.3000000000002</v>
      </c>
    </row>
    <row r="21" spans="1:9" x14ac:dyDescent="0.25">
      <c r="A21" s="377" t="s">
        <v>387</v>
      </c>
      <c r="B21" s="280"/>
      <c r="C21" s="280"/>
      <c r="D21" s="280"/>
      <c r="E21" s="280"/>
      <c r="F21" s="280"/>
      <c r="G21" s="280"/>
      <c r="H21" s="280"/>
      <c r="I21" s="378">
        <v>2003.62</v>
      </c>
    </row>
    <row r="22" spans="1:9" x14ac:dyDescent="0.25">
      <c r="A22" s="377" t="s">
        <v>193</v>
      </c>
      <c r="B22" s="280"/>
      <c r="C22" s="280"/>
      <c r="D22" s="280"/>
      <c r="E22" s="280"/>
      <c r="F22" s="280"/>
      <c r="G22" s="280"/>
      <c r="H22" s="280"/>
      <c r="I22" s="378">
        <v>1175.6400000000001</v>
      </c>
    </row>
    <row r="23" spans="1:9" x14ac:dyDescent="0.25">
      <c r="A23" s="377" t="s">
        <v>391</v>
      </c>
      <c r="B23" s="280" t="s">
        <v>388</v>
      </c>
      <c r="C23" s="280"/>
      <c r="D23" s="280"/>
      <c r="E23" s="280"/>
      <c r="F23" s="280"/>
      <c r="G23" s="280"/>
      <c r="H23" s="280"/>
      <c r="I23" s="378">
        <f>SUM(I20:I22)</f>
        <v>5600.56</v>
      </c>
    </row>
    <row r="24" spans="1:9" x14ac:dyDescent="0.25">
      <c r="A24" s="377"/>
      <c r="B24" s="280"/>
      <c r="C24" s="280"/>
      <c r="D24" s="280"/>
      <c r="E24" s="280"/>
      <c r="F24" s="280"/>
      <c r="G24" s="280"/>
      <c r="H24" s="280"/>
      <c r="I24" s="379"/>
    </row>
    <row r="25" spans="1:9" x14ac:dyDescent="0.25">
      <c r="A25" s="377"/>
      <c r="B25" s="280"/>
      <c r="C25" s="280"/>
      <c r="D25" s="280"/>
      <c r="E25" s="280"/>
      <c r="F25" s="280"/>
      <c r="G25" s="280"/>
      <c r="H25" s="280"/>
      <c r="I25" s="379"/>
    </row>
    <row r="26" spans="1:9" x14ac:dyDescent="0.25">
      <c r="A26" s="377"/>
      <c r="B26" s="280"/>
      <c r="C26" s="280"/>
      <c r="D26" s="280"/>
      <c r="E26" s="280"/>
      <c r="F26" s="280"/>
      <c r="G26" s="280"/>
      <c r="H26" s="280"/>
      <c r="I26" s="379"/>
    </row>
    <row r="27" spans="1:9" x14ac:dyDescent="0.25">
      <c r="A27" s="377" t="s">
        <v>392</v>
      </c>
      <c r="B27" s="280" t="s">
        <v>388</v>
      </c>
      <c r="C27" s="280"/>
      <c r="D27" s="280"/>
      <c r="E27" s="280"/>
      <c r="F27" s="280"/>
      <c r="G27" s="280"/>
      <c r="H27" s="280"/>
      <c r="I27" s="378">
        <v>29579.32</v>
      </c>
    </row>
    <row r="28" spans="1:9" x14ac:dyDescent="0.25">
      <c r="A28" s="377"/>
      <c r="B28" s="280"/>
      <c r="C28" s="280"/>
      <c r="D28" s="280"/>
      <c r="E28" s="280"/>
      <c r="F28" s="280"/>
      <c r="G28" s="280"/>
      <c r="H28" s="280"/>
      <c r="I28" s="379"/>
    </row>
    <row r="29" spans="1:9" x14ac:dyDescent="0.25">
      <c r="A29" s="377"/>
      <c r="B29" s="280"/>
      <c r="C29" s="280"/>
      <c r="D29" s="280"/>
      <c r="E29" s="280"/>
      <c r="F29" s="280"/>
      <c r="G29" s="280"/>
      <c r="H29" s="280"/>
      <c r="I29" s="379"/>
    </row>
    <row r="30" spans="1:9" ht="15.75" thickBot="1" x14ac:dyDescent="0.3">
      <c r="A30" s="380"/>
      <c r="B30" s="381"/>
      <c r="C30" s="381"/>
      <c r="D30" s="382">
        <v>7702.94</v>
      </c>
      <c r="E30" s="381" t="s">
        <v>393</v>
      </c>
      <c r="F30" s="381"/>
      <c r="G30" s="381"/>
      <c r="H30" s="381"/>
      <c r="I30" s="383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43D2-439E-4ADF-B0BA-4FFFB3F0CC24}">
  <dimension ref="A1:R15"/>
  <sheetViews>
    <sheetView workbookViewId="0">
      <selection activeCell="J23" sqref="J23"/>
    </sheetView>
  </sheetViews>
  <sheetFormatPr defaultRowHeight="15" x14ac:dyDescent="0.25"/>
  <cols>
    <col min="1" max="1" width="41" customWidth="1"/>
  </cols>
  <sheetData>
    <row r="1" spans="1:18" ht="15.75" thickBot="1" x14ac:dyDescent="0.3">
      <c r="A1" s="7" t="s">
        <v>16</v>
      </c>
      <c r="B1" s="373" t="s">
        <v>17</v>
      </c>
      <c r="C1" s="373"/>
      <c r="D1" s="373"/>
      <c r="E1" s="373"/>
      <c r="F1" s="374"/>
      <c r="G1" s="8"/>
      <c r="H1" s="373" t="s">
        <v>18</v>
      </c>
      <c r="I1" s="373"/>
      <c r="J1" s="373"/>
      <c r="K1" s="373"/>
      <c r="L1" s="374"/>
      <c r="N1" s="375" t="s">
        <v>19</v>
      </c>
      <c r="O1" s="373"/>
      <c r="P1" s="373"/>
      <c r="Q1" s="373"/>
      <c r="R1" s="374"/>
    </row>
    <row r="2" spans="1:18" x14ac:dyDescent="0.25">
      <c r="A2" t="s">
        <v>20</v>
      </c>
      <c r="B2" s="9"/>
      <c r="H2" s="9"/>
      <c r="N2" s="9"/>
    </row>
    <row r="3" spans="1:18" ht="15.75" thickBot="1" x14ac:dyDescent="0.3">
      <c r="A3" s="6">
        <v>2017</v>
      </c>
      <c r="B3" s="10" t="s">
        <v>21</v>
      </c>
      <c r="C3" s="10" t="s">
        <v>22</v>
      </c>
      <c r="D3" s="10" t="s">
        <v>21</v>
      </c>
      <c r="E3" s="10" t="s">
        <v>23</v>
      </c>
      <c r="F3" s="10" t="s">
        <v>24</v>
      </c>
      <c r="H3" s="10" t="s">
        <v>21</v>
      </c>
      <c r="I3" s="10" t="s">
        <v>22</v>
      </c>
      <c r="J3" s="10" t="s">
        <v>21</v>
      </c>
      <c r="K3" s="10" t="s">
        <v>23</v>
      </c>
      <c r="L3" s="10" t="s">
        <v>24</v>
      </c>
      <c r="N3" s="10" t="s">
        <v>21</v>
      </c>
      <c r="O3" s="10" t="s">
        <v>22</v>
      </c>
      <c r="P3" s="10" t="s">
        <v>21</v>
      </c>
      <c r="Q3" s="10" t="s">
        <v>23</v>
      </c>
      <c r="R3" s="10" t="s">
        <v>24</v>
      </c>
    </row>
    <row r="4" spans="1:18" x14ac:dyDescent="0.25">
      <c r="A4" t="s">
        <v>25</v>
      </c>
      <c r="B4" s="6">
        <v>5332</v>
      </c>
      <c r="C4" s="11">
        <v>2.060116667</v>
      </c>
      <c r="D4" s="6">
        <v>5332</v>
      </c>
      <c r="E4" s="11">
        <v>2.0378166666666702</v>
      </c>
      <c r="F4" s="11">
        <f>C4/E4</f>
        <v>1.0109430846739549</v>
      </c>
      <c r="H4" s="6">
        <v>5332</v>
      </c>
      <c r="I4" s="11">
        <v>2.0973666666666699</v>
      </c>
      <c r="J4" s="6">
        <v>5332</v>
      </c>
      <c r="K4" s="11">
        <v>2.0564416666666698</v>
      </c>
      <c r="L4" s="11">
        <f>I4/K4</f>
        <v>1.0199008805663505</v>
      </c>
      <c r="N4" s="6">
        <v>5332</v>
      </c>
      <c r="O4" s="11">
        <v>2.13146666666667</v>
      </c>
      <c r="P4" s="6">
        <v>5332</v>
      </c>
      <c r="Q4" s="11">
        <v>2.1007833333333301</v>
      </c>
      <c r="R4" s="11">
        <f>O4/Q4</f>
        <v>1.0146056629669917</v>
      </c>
    </row>
    <row r="5" spans="1:18" x14ac:dyDescent="0.25">
      <c r="A5" t="s">
        <v>26</v>
      </c>
      <c r="B5" s="6">
        <v>8020</v>
      </c>
      <c r="C5" s="11">
        <v>2.9998499999999999</v>
      </c>
      <c r="D5" s="6">
        <v>8020</v>
      </c>
      <c r="E5" s="11">
        <v>2.948</v>
      </c>
      <c r="F5" s="11">
        <f>C5/E5</f>
        <v>1.0175881953867028</v>
      </c>
      <c r="H5" s="6">
        <v>8020</v>
      </c>
      <c r="I5" s="11">
        <v>3.0376666666666701</v>
      </c>
      <c r="J5" s="6">
        <v>8020</v>
      </c>
      <c r="K5" s="11">
        <v>2.9907333333333299</v>
      </c>
      <c r="L5" s="11">
        <f>I5/K5</f>
        <v>1.0156929181248768</v>
      </c>
      <c r="N5" s="6">
        <v>8020</v>
      </c>
      <c r="O5" s="11">
        <v>3.0864333333333298</v>
      </c>
      <c r="P5" s="6">
        <v>8020</v>
      </c>
      <c r="Q5" s="11">
        <v>3.0061166666666699</v>
      </c>
      <c r="R5" s="11">
        <f>O5/Q5</f>
        <v>1.0267177477032916</v>
      </c>
    </row>
    <row r="6" spans="1:18" x14ac:dyDescent="0.25">
      <c r="B6" s="6"/>
      <c r="C6" s="11"/>
      <c r="D6" s="6"/>
      <c r="E6" s="11"/>
      <c r="F6" s="11"/>
      <c r="H6" s="6"/>
      <c r="I6" s="11"/>
      <c r="J6" s="6"/>
      <c r="K6" s="11"/>
      <c r="L6" s="11"/>
      <c r="N6" s="6"/>
      <c r="O6" s="11"/>
      <c r="P6" s="6"/>
      <c r="Q6" s="11"/>
      <c r="R6" s="11"/>
    </row>
    <row r="7" spans="1:18" x14ac:dyDescent="0.25">
      <c r="A7" t="s">
        <v>27</v>
      </c>
      <c r="B7" s="6">
        <v>5333</v>
      </c>
      <c r="C7" s="11">
        <v>2.1687666669999999</v>
      </c>
      <c r="D7" s="6">
        <v>5333</v>
      </c>
      <c r="E7" s="11">
        <v>2.13565</v>
      </c>
      <c r="F7" s="11">
        <f t="shared" ref="F7:F8" si="0">C7/E7</f>
        <v>1.0155065984594853</v>
      </c>
      <c r="H7" s="6">
        <v>5333</v>
      </c>
      <c r="I7" s="11">
        <v>2.1835300000000002</v>
      </c>
      <c r="J7" s="6">
        <v>5333</v>
      </c>
      <c r="K7" s="11">
        <v>2.1462333333333299</v>
      </c>
      <c r="L7" s="11">
        <f t="shared" ref="L7:L8" si="1">I7/K7</f>
        <v>1.0173777315296584</v>
      </c>
      <c r="N7" s="6">
        <v>5333</v>
      </c>
      <c r="O7" s="11">
        <v>2.1701666666666699</v>
      </c>
      <c r="P7" s="6">
        <v>5333</v>
      </c>
      <c r="Q7" s="11">
        <v>2.1227499999999999</v>
      </c>
      <c r="R7" s="11">
        <f t="shared" ref="R7:R8" si="2">O7/Q7</f>
        <v>1.022337376830371</v>
      </c>
    </row>
    <row r="8" spans="1:18" x14ac:dyDescent="0.25">
      <c r="A8" t="s">
        <v>28</v>
      </c>
      <c r="B8" s="6">
        <v>8019</v>
      </c>
      <c r="C8" s="11">
        <v>3.1015166669999998</v>
      </c>
      <c r="D8" s="6">
        <v>8019</v>
      </c>
      <c r="E8" s="11">
        <v>3.0338833333333302</v>
      </c>
      <c r="F8" s="11">
        <f t="shared" si="0"/>
        <v>1.0222926613306389</v>
      </c>
      <c r="H8" s="6">
        <v>8019</v>
      </c>
      <c r="I8" s="11">
        <v>3.20868333333333</v>
      </c>
      <c r="J8" s="6">
        <v>8019</v>
      </c>
      <c r="K8" s="11">
        <v>3.0733333333333301</v>
      </c>
      <c r="L8" s="11">
        <f t="shared" si="1"/>
        <v>1.0440401301518438</v>
      </c>
      <c r="N8" s="6">
        <v>8019</v>
      </c>
      <c r="O8" s="11">
        <v>3.1666166666666702</v>
      </c>
      <c r="P8" s="6">
        <v>8019</v>
      </c>
      <c r="Q8" s="11">
        <v>3.1169833333333301</v>
      </c>
      <c r="R8" s="11">
        <f t="shared" si="2"/>
        <v>1.0159235157925153</v>
      </c>
    </row>
    <row r="15" spans="1:18" x14ac:dyDescent="0.25">
      <c r="B15">
        <f>58000000/92000</f>
        <v>630.43478260869563</v>
      </c>
    </row>
  </sheetData>
  <mergeCells count="3">
    <mergeCell ref="B1:F1"/>
    <mergeCell ref="H1:L1"/>
    <mergeCell ref="N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AA8C-CA16-47D5-B7D2-8AB0A42E3445}">
  <dimension ref="A1:C77"/>
  <sheetViews>
    <sheetView topLeftCell="A55" workbookViewId="0">
      <selection activeCell="A65" sqref="A65:C76"/>
    </sheetView>
  </sheetViews>
  <sheetFormatPr defaultRowHeight="15" x14ac:dyDescent="0.25"/>
  <cols>
    <col min="1" max="1" width="37.28515625" bestFit="1" customWidth="1"/>
    <col min="2" max="2" width="19.5703125" customWidth="1"/>
    <col min="3" max="3" width="17.28515625" customWidth="1"/>
  </cols>
  <sheetData>
    <row r="1" spans="1:3" x14ac:dyDescent="0.25">
      <c r="A1" s="385" t="s">
        <v>70</v>
      </c>
      <c r="B1" s="385"/>
      <c r="C1" s="385"/>
    </row>
    <row r="2" spans="1:3" ht="29.25" x14ac:dyDescent="0.25">
      <c r="A2" s="386"/>
      <c r="B2" s="387" t="s">
        <v>755</v>
      </c>
      <c r="C2" s="387" t="s">
        <v>731</v>
      </c>
    </row>
    <row r="3" spans="1:3" x14ac:dyDescent="0.25">
      <c r="A3" s="388" t="s">
        <v>68</v>
      </c>
      <c r="B3" s="389">
        <v>10064</v>
      </c>
      <c r="C3" s="389">
        <v>7830</v>
      </c>
    </row>
    <row r="4" spans="1:3" x14ac:dyDescent="0.25">
      <c r="A4" s="388" t="s">
        <v>104</v>
      </c>
      <c r="B4" s="389">
        <v>23856.607465382298</v>
      </c>
      <c r="C4" s="389">
        <v>18630.185901459852</v>
      </c>
    </row>
    <row r="5" spans="1:3" x14ac:dyDescent="0.25">
      <c r="A5" s="388" t="s">
        <v>105</v>
      </c>
      <c r="B5" s="389">
        <v>28718.052378085489</v>
      </c>
      <c r="C5" s="389">
        <v>26332.959660297245</v>
      </c>
    </row>
    <row r="6" spans="1:3" x14ac:dyDescent="0.25">
      <c r="A6" s="61" t="s">
        <v>69</v>
      </c>
      <c r="B6" s="390">
        <v>1.6460109999999999</v>
      </c>
      <c r="C6" s="390">
        <v>2.1930272068141901</v>
      </c>
    </row>
    <row r="7" spans="1:3" x14ac:dyDescent="0.25">
      <c r="A7" s="61" t="s">
        <v>108</v>
      </c>
      <c r="B7" s="390">
        <v>1.6460109999999999</v>
      </c>
      <c r="C7" s="390">
        <v>1.8839999999999999</v>
      </c>
    </row>
    <row r="8" spans="1:3" x14ac:dyDescent="0.25">
      <c r="A8" s="61" t="s">
        <v>76</v>
      </c>
      <c r="B8" s="390">
        <v>6258910.5</v>
      </c>
      <c r="C8" s="390">
        <v>6024310.3999999994</v>
      </c>
    </row>
    <row r="9" spans="1:3" x14ac:dyDescent="0.25">
      <c r="A9" s="61" t="s">
        <v>106</v>
      </c>
      <c r="B9" s="390">
        <f>B6*B4*365</f>
        <v>14332906.983406004</v>
      </c>
      <c r="C9" s="390">
        <f>C6*C4*365</f>
        <v>14912624.160716275</v>
      </c>
    </row>
    <row r="10" spans="1:3" x14ac:dyDescent="0.25">
      <c r="A10" s="61" t="s">
        <v>107</v>
      </c>
      <c r="B10" s="390">
        <f>B6*B5*365</f>
        <v>17253633.991210278</v>
      </c>
      <c r="C10" s="390">
        <f>C7*C5*365</f>
        <v>18108123.040000003</v>
      </c>
    </row>
    <row r="11" spans="1:3" x14ac:dyDescent="0.25">
      <c r="A11" s="61" t="s">
        <v>62</v>
      </c>
      <c r="B11" s="390">
        <v>0.73895274584929749</v>
      </c>
      <c r="C11" s="390">
        <v>0.65103338632750407</v>
      </c>
    </row>
    <row r="12" spans="1:3" x14ac:dyDescent="0.25">
      <c r="A12" s="61" t="s">
        <v>109</v>
      </c>
      <c r="B12" s="390">
        <f>(B10-B9)/B9</f>
        <v>0.20377771314540458</v>
      </c>
      <c r="C12" s="390">
        <f>(C10-C9)/C9</f>
        <v>0.21428146011360644</v>
      </c>
    </row>
    <row r="13" spans="1:3" x14ac:dyDescent="0.25">
      <c r="A13" s="61" t="s">
        <v>99</v>
      </c>
      <c r="B13" s="390">
        <v>1140</v>
      </c>
      <c r="C13" s="390">
        <v>1433</v>
      </c>
    </row>
    <row r="14" spans="1:3" x14ac:dyDescent="0.25">
      <c r="A14" s="61" t="s">
        <v>98</v>
      </c>
      <c r="B14" s="390">
        <v>2149</v>
      </c>
      <c r="C14" s="390">
        <v>1979</v>
      </c>
    </row>
    <row r="15" spans="1:3" x14ac:dyDescent="0.25">
      <c r="A15" s="61" t="s">
        <v>103</v>
      </c>
      <c r="B15" s="390">
        <v>0.11579</v>
      </c>
      <c r="C15" s="390">
        <v>0.15937999999999999</v>
      </c>
    </row>
    <row r="16" spans="1:3" x14ac:dyDescent="0.25">
      <c r="A16" s="61" t="s">
        <v>102</v>
      </c>
      <c r="B16" s="390">
        <v>609</v>
      </c>
      <c r="C16" s="390">
        <v>695</v>
      </c>
    </row>
    <row r="17" spans="1:3" x14ac:dyDescent="0.25">
      <c r="A17" s="61" t="s">
        <v>101</v>
      </c>
      <c r="B17" s="390">
        <v>481</v>
      </c>
      <c r="C17" s="390">
        <v>466</v>
      </c>
    </row>
    <row r="18" spans="1:3" x14ac:dyDescent="0.25">
      <c r="A18" s="61" t="s">
        <v>100</v>
      </c>
      <c r="B18" s="390">
        <v>75</v>
      </c>
      <c r="C18" s="390">
        <v>87</v>
      </c>
    </row>
    <row r="19" spans="1:3" ht="15.75" x14ac:dyDescent="0.25">
      <c r="A19" s="68"/>
      <c r="B19" s="384"/>
      <c r="C19" s="384"/>
    </row>
    <row r="20" spans="1:3" x14ac:dyDescent="0.25">
      <c r="A20" s="385" t="s">
        <v>756</v>
      </c>
      <c r="B20" s="385"/>
      <c r="C20" s="385"/>
    </row>
    <row r="21" spans="1:3" ht="29.25" x14ac:dyDescent="0.25">
      <c r="A21" s="391"/>
      <c r="B21" s="387" t="s">
        <v>761</v>
      </c>
      <c r="C21" s="387" t="s">
        <v>731</v>
      </c>
    </row>
    <row r="22" spans="1:3" x14ac:dyDescent="0.25">
      <c r="A22" s="392" t="s">
        <v>616</v>
      </c>
      <c r="B22" s="388"/>
      <c r="C22" s="388"/>
    </row>
    <row r="23" spans="1:3" x14ac:dyDescent="0.25">
      <c r="A23" s="388" t="s">
        <v>617</v>
      </c>
      <c r="B23" s="388">
        <v>0</v>
      </c>
      <c r="C23" s="388">
        <v>1</v>
      </c>
    </row>
    <row r="24" spans="1:3" x14ac:dyDescent="0.25">
      <c r="A24" s="388" t="s">
        <v>618</v>
      </c>
      <c r="B24" s="388">
        <v>4</v>
      </c>
      <c r="C24" s="388">
        <v>3</v>
      </c>
    </row>
    <row r="25" spans="1:3" x14ac:dyDescent="0.25">
      <c r="A25" s="388" t="s">
        <v>619</v>
      </c>
      <c r="B25" s="388">
        <v>16</v>
      </c>
      <c r="C25" s="388">
        <v>20</v>
      </c>
    </row>
    <row r="26" spans="1:3" x14ac:dyDescent="0.25">
      <c r="A26" s="388" t="s">
        <v>620</v>
      </c>
      <c r="B26" s="388">
        <v>39</v>
      </c>
      <c r="C26" s="388">
        <v>47</v>
      </c>
    </row>
    <row r="27" spans="1:3" x14ac:dyDescent="0.25">
      <c r="A27" s="61"/>
      <c r="B27" s="61"/>
      <c r="C27" s="61"/>
    </row>
    <row r="28" spans="1:3" x14ac:dyDescent="0.25">
      <c r="A28" s="61" t="s">
        <v>621</v>
      </c>
      <c r="B28" s="61">
        <v>0</v>
      </c>
      <c r="C28" s="61">
        <v>0.16666666666666666</v>
      </c>
    </row>
    <row r="29" spans="1:3" x14ac:dyDescent="0.25">
      <c r="A29" s="61" t="s">
        <v>622</v>
      </c>
      <c r="B29" s="61">
        <v>0.66666700000000001</v>
      </c>
      <c r="C29" s="61">
        <v>0.5</v>
      </c>
    </row>
    <row r="30" spans="1:3" x14ac:dyDescent="0.25">
      <c r="A30" s="61" t="s">
        <v>623</v>
      </c>
      <c r="B30" s="61">
        <v>2.6666666666666665</v>
      </c>
      <c r="C30" s="61">
        <v>3.3333333333333335</v>
      </c>
    </row>
    <row r="31" spans="1:3" x14ac:dyDescent="0.25">
      <c r="A31" s="61" t="s">
        <v>624</v>
      </c>
      <c r="B31" s="61">
        <v>6.5</v>
      </c>
      <c r="C31" s="61">
        <v>7.833333333333333</v>
      </c>
    </row>
    <row r="32" spans="1:3" ht="15.75" x14ac:dyDescent="0.25">
      <c r="A32" s="68"/>
      <c r="B32" s="68"/>
      <c r="C32" s="68"/>
    </row>
    <row r="33" spans="1:3" ht="15.75" x14ac:dyDescent="0.25">
      <c r="A33" s="385" t="s">
        <v>77</v>
      </c>
      <c r="B33" s="393"/>
      <c r="C33" s="235"/>
    </row>
    <row r="34" spans="1:3" ht="15.75" x14ac:dyDescent="0.25">
      <c r="A34" s="394" t="s">
        <v>757</v>
      </c>
      <c r="B34" s="394" t="s">
        <v>758</v>
      </c>
      <c r="C34" s="237"/>
    </row>
    <row r="35" spans="1:3" ht="15.75" x14ac:dyDescent="0.25">
      <c r="A35" s="388" t="s">
        <v>75</v>
      </c>
      <c r="B35" s="395">
        <v>9962900</v>
      </c>
      <c r="C35" s="234"/>
    </row>
    <row r="36" spans="1:3" ht="15.75" x14ac:dyDescent="0.25">
      <c r="A36" s="388" t="s">
        <v>72</v>
      </c>
      <c r="B36" s="395">
        <v>577700</v>
      </c>
      <c r="C36" s="234"/>
    </row>
    <row r="37" spans="1:3" ht="15.75" x14ac:dyDescent="0.25">
      <c r="A37" s="388" t="s">
        <v>35</v>
      </c>
      <c r="B37" s="395">
        <v>150300</v>
      </c>
      <c r="C37" s="234"/>
    </row>
    <row r="38" spans="1:3" ht="15.75" x14ac:dyDescent="0.25">
      <c r="A38" s="388" t="s">
        <v>36</v>
      </c>
      <c r="B38" s="395">
        <v>10500</v>
      </c>
      <c r="C38" s="234"/>
    </row>
    <row r="39" spans="1:3" ht="15.75" x14ac:dyDescent="0.25">
      <c r="A39" s="388" t="s">
        <v>625</v>
      </c>
      <c r="B39" s="388"/>
      <c r="C39" s="234"/>
    </row>
    <row r="40" spans="1:3" ht="15.75" x14ac:dyDescent="0.25">
      <c r="A40" s="68"/>
      <c r="B40" s="68"/>
      <c r="C40" s="68"/>
    </row>
    <row r="41" spans="1:3" ht="15.75" x14ac:dyDescent="0.25">
      <c r="A41" s="385" t="s">
        <v>78</v>
      </c>
      <c r="B41" s="393"/>
      <c r="C41" s="235"/>
    </row>
    <row r="42" spans="1:3" ht="15.75" x14ac:dyDescent="0.25">
      <c r="A42" s="396" t="s">
        <v>759</v>
      </c>
      <c r="B42" s="396" t="s">
        <v>758</v>
      </c>
      <c r="C42" s="236"/>
    </row>
    <row r="43" spans="1:3" ht="15.75" x14ac:dyDescent="0.25">
      <c r="A43" s="397" t="s">
        <v>79</v>
      </c>
      <c r="B43" s="398" t="s">
        <v>81</v>
      </c>
      <c r="C43" s="68"/>
    </row>
    <row r="44" spans="1:3" ht="15.75" x14ac:dyDescent="0.25">
      <c r="A44" s="61" t="s">
        <v>80</v>
      </c>
      <c r="B44" s="399">
        <v>16.2</v>
      </c>
      <c r="C44" s="68"/>
    </row>
    <row r="45" spans="1:3" ht="15.75" x14ac:dyDescent="0.25">
      <c r="A45" s="61" t="s">
        <v>82</v>
      </c>
      <c r="B45" s="399">
        <v>29.4</v>
      </c>
      <c r="C45" s="68"/>
    </row>
    <row r="46" spans="1:3" ht="15.75" x14ac:dyDescent="0.25">
      <c r="A46" s="61" t="s">
        <v>83</v>
      </c>
      <c r="B46" s="399">
        <v>17.8</v>
      </c>
      <c r="C46" s="68"/>
    </row>
    <row r="47" spans="1:3" ht="15.75" x14ac:dyDescent="0.25">
      <c r="A47" s="61"/>
      <c r="B47" s="61"/>
      <c r="C47" s="68"/>
    </row>
    <row r="48" spans="1:3" ht="15.75" x14ac:dyDescent="0.25">
      <c r="A48" s="397" t="s">
        <v>84</v>
      </c>
      <c r="B48" s="61"/>
      <c r="C48" s="68"/>
    </row>
    <row r="49" spans="1:3" ht="15.75" x14ac:dyDescent="0.25">
      <c r="A49" s="61" t="s">
        <v>85</v>
      </c>
      <c r="B49" s="399">
        <v>32</v>
      </c>
      <c r="C49" s="68"/>
    </row>
    <row r="50" spans="1:3" ht="15.75" x14ac:dyDescent="0.25">
      <c r="A50" s="61" t="s">
        <v>86</v>
      </c>
      <c r="B50" s="399">
        <v>33.6</v>
      </c>
      <c r="C50" s="68"/>
    </row>
    <row r="51" spans="1:3" ht="15.75" x14ac:dyDescent="0.25">
      <c r="A51" s="68"/>
      <c r="B51" s="68"/>
      <c r="C51" s="68"/>
    </row>
    <row r="52" spans="1:3" ht="15.75" x14ac:dyDescent="0.25">
      <c r="A52" s="385" t="s">
        <v>87</v>
      </c>
      <c r="B52" s="393"/>
      <c r="C52" s="235"/>
    </row>
    <row r="53" spans="1:3" ht="15.75" x14ac:dyDescent="0.25">
      <c r="A53" s="396" t="s">
        <v>92</v>
      </c>
      <c r="B53" s="396" t="s">
        <v>93</v>
      </c>
      <c r="C53" s="68"/>
    </row>
    <row r="54" spans="1:3" ht="15.75" x14ac:dyDescent="0.25">
      <c r="A54" s="61" t="s">
        <v>88</v>
      </c>
      <c r="B54" s="61">
        <v>1.48</v>
      </c>
      <c r="C54" s="68"/>
    </row>
    <row r="55" spans="1:3" ht="15.75" x14ac:dyDescent="0.25">
      <c r="A55" s="61" t="s">
        <v>89</v>
      </c>
      <c r="B55" s="61">
        <v>1.58</v>
      </c>
      <c r="C55" s="68"/>
    </row>
    <row r="56" spans="1:3" ht="15.75" x14ac:dyDescent="0.25">
      <c r="A56" s="61" t="s">
        <v>90</v>
      </c>
      <c r="B56" s="61">
        <v>2.02</v>
      </c>
      <c r="C56" s="68"/>
    </row>
    <row r="57" spans="1:3" ht="15.75" x14ac:dyDescent="0.25">
      <c r="A57" s="61" t="s">
        <v>91</v>
      </c>
      <c r="B57" s="61">
        <v>1.67</v>
      </c>
      <c r="C57" s="68"/>
    </row>
    <row r="58" spans="1:3" ht="15.75" x14ac:dyDescent="0.25">
      <c r="A58" s="68"/>
      <c r="B58" s="68"/>
      <c r="C58" s="68"/>
    </row>
    <row r="59" spans="1:3" ht="15.75" x14ac:dyDescent="0.25">
      <c r="A59" s="385" t="s">
        <v>760</v>
      </c>
      <c r="B59" s="393"/>
      <c r="C59" s="68"/>
    </row>
    <row r="60" spans="1:3" ht="15.75" x14ac:dyDescent="0.25">
      <c r="A60" s="61"/>
      <c r="B60" s="61"/>
      <c r="C60" s="68"/>
    </row>
    <row r="61" spans="1:3" ht="15.75" x14ac:dyDescent="0.25">
      <c r="A61" s="396" t="s">
        <v>92</v>
      </c>
      <c r="B61" s="396" t="s">
        <v>95</v>
      </c>
      <c r="C61" s="68"/>
    </row>
    <row r="62" spans="1:3" ht="15.75" x14ac:dyDescent="0.25">
      <c r="A62" s="61" t="s">
        <v>96</v>
      </c>
      <c r="B62" s="399">
        <v>0.43</v>
      </c>
      <c r="C62" s="68"/>
    </row>
    <row r="63" spans="1:3" ht="15.75" x14ac:dyDescent="0.25">
      <c r="A63" s="61" t="s">
        <v>97</v>
      </c>
      <c r="B63" s="399">
        <v>0.93</v>
      </c>
      <c r="C63" s="68"/>
    </row>
    <row r="64" spans="1:3" ht="16.5" thickBot="1" x14ac:dyDescent="0.3">
      <c r="A64" s="68"/>
      <c r="B64" s="68"/>
      <c r="C64" s="68"/>
    </row>
    <row r="65" spans="1:3" x14ac:dyDescent="0.25">
      <c r="A65" s="400" t="s">
        <v>635</v>
      </c>
      <c r="B65" s="401"/>
      <c r="C65" s="402"/>
    </row>
    <row r="66" spans="1:3" s="167" customFormat="1" x14ac:dyDescent="0.25">
      <c r="A66" s="403" t="s">
        <v>744</v>
      </c>
      <c r="B66" s="404" t="s">
        <v>745</v>
      </c>
      <c r="C66" s="405" t="s">
        <v>746</v>
      </c>
    </row>
    <row r="67" spans="1:3" x14ac:dyDescent="0.25">
      <c r="A67" s="406" t="s">
        <v>636</v>
      </c>
      <c r="B67" s="407">
        <v>7.0000000000000007E-2</v>
      </c>
      <c r="C67" s="408"/>
    </row>
    <row r="68" spans="1:3" x14ac:dyDescent="0.25">
      <c r="A68" s="406" t="s">
        <v>637</v>
      </c>
      <c r="B68" s="409" t="s">
        <v>584</v>
      </c>
      <c r="C68" s="408"/>
    </row>
    <row r="69" spans="1:3" x14ac:dyDescent="0.25">
      <c r="A69" s="410" t="s">
        <v>638</v>
      </c>
      <c r="B69" s="411">
        <v>2027</v>
      </c>
      <c r="C69" s="412"/>
    </row>
    <row r="70" spans="1:3" ht="75" x14ac:dyDescent="0.25">
      <c r="A70" s="410" t="s">
        <v>639</v>
      </c>
      <c r="B70" s="413">
        <v>5.3999999999999999E-2</v>
      </c>
      <c r="C70" s="414" t="s">
        <v>585</v>
      </c>
    </row>
    <row r="71" spans="1:3" x14ac:dyDescent="0.25">
      <c r="A71" s="410" t="s">
        <v>640</v>
      </c>
      <c r="B71" s="413">
        <v>0.02</v>
      </c>
      <c r="C71" s="415"/>
    </row>
    <row r="72" spans="1:3" x14ac:dyDescent="0.25">
      <c r="A72" s="410" t="s">
        <v>612</v>
      </c>
      <c r="B72" s="416">
        <v>302600</v>
      </c>
      <c r="C72" s="417" t="s">
        <v>583</v>
      </c>
    </row>
    <row r="73" spans="1:3" x14ac:dyDescent="0.25">
      <c r="A73" s="410" t="s">
        <v>613</v>
      </c>
      <c r="B73" s="416">
        <v>12837400</v>
      </c>
      <c r="C73" s="418"/>
    </row>
    <row r="74" spans="1:3" x14ac:dyDescent="0.25">
      <c r="A74" s="410" t="s">
        <v>614</v>
      </c>
      <c r="B74" s="416">
        <v>4600</v>
      </c>
      <c r="C74" s="418"/>
    </row>
    <row r="75" spans="1:3" x14ac:dyDescent="0.25">
      <c r="A75" s="406" t="s">
        <v>615</v>
      </c>
      <c r="B75" s="419">
        <v>554800</v>
      </c>
      <c r="C75" s="420"/>
    </row>
    <row r="76" spans="1:3" ht="114" customHeight="1" thickBot="1" x14ac:dyDescent="0.3">
      <c r="A76" s="421" t="s">
        <v>641</v>
      </c>
      <c r="B76" s="422" t="s">
        <v>690</v>
      </c>
      <c r="C76" s="423" t="s">
        <v>747</v>
      </c>
    </row>
    <row r="77" spans="1:3" ht="15.75" x14ac:dyDescent="0.25">
      <c r="A77" s="68"/>
      <c r="B77" s="100"/>
      <c r="C77" s="68"/>
    </row>
  </sheetData>
  <mergeCells count="8">
    <mergeCell ref="C72:C75"/>
    <mergeCell ref="A1:C1"/>
    <mergeCell ref="A20:C20"/>
    <mergeCell ref="A65:C65"/>
    <mergeCell ref="A41:B41"/>
    <mergeCell ref="A33:B33"/>
    <mergeCell ref="A52:B52"/>
    <mergeCell ref="A59:B5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97061-35DD-44E8-85DC-C996E88D0E87}">
  <dimension ref="A1:J38"/>
  <sheetViews>
    <sheetView topLeftCell="A16" workbookViewId="0">
      <selection activeCell="K38" sqref="K38"/>
    </sheetView>
  </sheetViews>
  <sheetFormatPr defaultRowHeight="15" x14ac:dyDescent="0.25"/>
  <cols>
    <col min="1" max="1" width="9.28515625" bestFit="1" customWidth="1"/>
    <col min="2" max="2" width="18.85546875" bestFit="1" customWidth="1"/>
    <col min="3" max="3" width="9.85546875" bestFit="1" customWidth="1"/>
    <col min="4" max="4" width="12" customWidth="1"/>
    <col min="5" max="5" width="12" style="165" customWidth="1"/>
    <col min="6" max="6" width="15" bestFit="1" customWidth="1"/>
    <col min="7" max="7" width="14.85546875" customWidth="1"/>
  </cols>
  <sheetData>
    <row r="1" spans="1:10" ht="16.5" thickBot="1" x14ac:dyDescent="0.3">
      <c r="A1" s="68" t="s">
        <v>754</v>
      </c>
      <c r="B1" s="68"/>
      <c r="C1" s="68"/>
      <c r="D1" s="68"/>
      <c r="E1" s="68"/>
      <c r="F1" s="68"/>
      <c r="G1" s="68"/>
      <c r="H1" s="68"/>
    </row>
    <row r="2" spans="1:10" ht="15.75" x14ac:dyDescent="0.25">
      <c r="A2" s="344" t="s">
        <v>776</v>
      </c>
      <c r="B2" s="345"/>
      <c r="C2" s="345"/>
      <c r="D2" s="345"/>
      <c r="E2" s="345"/>
      <c r="F2" s="345"/>
      <c r="G2" s="346"/>
      <c r="H2" s="68"/>
    </row>
    <row r="3" spans="1:10" ht="47.25" x14ac:dyDescent="0.25">
      <c r="A3" s="82" t="s">
        <v>574</v>
      </c>
      <c r="B3" s="83" t="s">
        <v>1</v>
      </c>
      <c r="C3" s="83" t="s">
        <v>661</v>
      </c>
      <c r="D3" s="83" t="s">
        <v>662</v>
      </c>
      <c r="E3" s="83" t="s">
        <v>664</v>
      </c>
      <c r="F3" s="83" t="s">
        <v>663</v>
      </c>
      <c r="G3" s="84" t="s">
        <v>633</v>
      </c>
      <c r="H3" s="68"/>
    </row>
    <row r="4" spans="1:10" ht="15.75" x14ac:dyDescent="0.25">
      <c r="A4" s="284">
        <v>0</v>
      </c>
      <c r="B4" s="73">
        <v>2022</v>
      </c>
      <c r="C4" s="286">
        <v>0</v>
      </c>
      <c r="D4" s="163">
        <v>15.76</v>
      </c>
      <c r="E4" s="74"/>
      <c r="F4" s="79">
        <v>0</v>
      </c>
      <c r="G4" s="80">
        <v>0</v>
      </c>
      <c r="H4" s="68"/>
    </row>
    <row r="5" spans="1:10" ht="15.75" x14ac:dyDescent="0.25">
      <c r="A5" s="284">
        <v>1</v>
      </c>
      <c r="B5" s="73">
        <v>2023</v>
      </c>
      <c r="C5" s="286">
        <v>0</v>
      </c>
      <c r="D5" s="163">
        <f>(D4*0.03)+D4</f>
        <v>16.232800000000001</v>
      </c>
      <c r="E5" s="74"/>
      <c r="F5" s="79">
        <v>0</v>
      </c>
      <c r="G5" s="80">
        <v>0</v>
      </c>
      <c r="H5" s="68"/>
    </row>
    <row r="6" spans="1:10" ht="15.75" x14ac:dyDescent="0.25">
      <c r="A6" s="284">
        <v>2</v>
      </c>
      <c r="B6" s="73" t="s">
        <v>578</v>
      </c>
      <c r="C6" s="286">
        <v>0</v>
      </c>
      <c r="D6" s="163">
        <f>(D5*0.03)+D5</f>
        <v>16.719784000000001</v>
      </c>
      <c r="E6" s="74"/>
      <c r="F6" s="79">
        <v>0</v>
      </c>
      <c r="G6" s="80">
        <v>0</v>
      </c>
      <c r="H6" s="68"/>
    </row>
    <row r="7" spans="1:10" ht="15.75" x14ac:dyDescent="0.25">
      <c r="A7" s="284">
        <v>3</v>
      </c>
      <c r="B7" s="73" t="s">
        <v>579</v>
      </c>
      <c r="C7" s="286">
        <v>0</v>
      </c>
      <c r="D7" s="163">
        <f t="shared" ref="D7:D9" si="0">(D6*0.03)+D6</f>
        <v>17.221377520000001</v>
      </c>
      <c r="E7" s="74"/>
      <c r="F7" s="79">
        <v>0</v>
      </c>
      <c r="G7" s="80">
        <v>0</v>
      </c>
      <c r="H7" s="68"/>
    </row>
    <row r="8" spans="1:10" ht="15.75" x14ac:dyDescent="0.25">
      <c r="A8" s="284">
        <v>4</v>
      </c>
      <c r="B8" s="73" t="s">
        <v>580</v>
      </c>
      <c r="C8" s="286">
        <v>0</v>
      </c>
      <c r="D8" s="163">
        <f t="shared" si="0"/>
        <v>17.738018845599999</v>
      </c>
      <c r="E8" s="74"/>
      <c r="F8" s="79">
        <v>0</v>
      </c>
      <c r="G8" s="80">
        <v>0</v>
      </c>
      <c r="H8" s="68"/>
    </row>
    <row r="9" spans="1:10" ht="15.75" x14ac:dyDescent="0.25">
      <c r="A9" s="284">
        <v>5</v>
      </c>
      <c r="B9" s="73">
        <v>2027</v>
      </c>
      <c r="C9" s="286">
        <v>500</v>
      </c>
      <c r="D9" s="163">
        <f t="shared" si="0"/>
        <v>18.270159410967999</v>
      </c>
      <c r="E9" s="74">
        <f>16*2080</f>
        <v>33280</v>
      </c>
      <c r="F9" s="81">
        <f>C9*E9</f>
        <v>16640000</v>
      </c>
      <c r="G9" s="80">
        <f>F9/1.07</f>
        <v>15551401.869158877</v>
      </c>
      <c r="H9" s="68"/>
    </row>
    <row r="10" spans="1:10" ht="15.75" x14ac:dyDescent="0.25">
      <c r="A10" s="284">
        <v>6</v>
      </c>
      <c r="B10" s="75">
        <v>2028</v>
      </c>
      <c r="C10" s="286">
        <v>100</v>
      </c>
      <c r="D10" s="163">
        <f>(D9*0.02)+D9</f>
        <v>18.635562599187359</v>
      </c>
      <c r="E10" s="74">
        <f>D10*2080</f>
        <v>38761.970206309707</v>
      </c>
      <c r="F10" s="81">
        <f>C10*E10</f>
        <v>3876197.0206309706</v>
      </c>
      <c r="G10" s="80">
        <f>F10/1.07^2</f>
        <v>3385620.5962363267</v>
      </c>
      <c r="H10" s="68"/>
    </row>
    <row r="11" spans="1:10" ht="15.75" x14ac:dyDescent="0.25">
      <c r="A11" s="284">
        <v>7</v>
      </c>
      <c r="B11" s="75">
        <v>2029</v>
      </c>
      <c r="C11" s="286">
        <v>100</v>
      </c>
      <c r="D11" s="163">
        <f t="shared" ref="D11:D20" si="1">(D10*0.02)+D10</f>
        <v>19.008273851171108</v>
      </c>
      <c r="E11" s="74">
        <f>D11*2080</f>
        <v>39537.209610435901</v>
      </c>
      <c r="F11" s="81">
        <f t="shared" ref="F11:F28" si="2">C11*E11</f>
        <v>3953720.9610435902</v>
      </c>
      <c r="G11" s="80">
        <f>F11/1.07^3</f>
        <v>3227414.0263187415</v>
      </c>
      <c r="H11" s="68"/>
      <c r="J11" s="175"/>
    </row>
    <row r="12" spans="1:10" ht="15.75" x14ac:dyDescent="0.25">
      <c r="A12" s="284">
        <v>8</v>
      </c>
      <c r="B12" s="75">
        <v>2030</v>
      </c>
      <c r="C12" s="286">
        <v>100</v>
      </c>
      <c r="D12" s="163">
        <f t="shared" si="1"/>
        <v>19.388439328194529</v>
      </c>
      <c r="E12" s="74">
        <f t="shared" ref="E12:E28" si="3">D12*2080</f>
        <v>40327.953802644624</v>
      </c>
      <c r="F12" s="81">
        <f t="shared" si="2"/>
        <v>4032795.3802644624</v>
      </c>
      <c r="G12" s="80">
        <f>F12/1.07^4</f>
        <v>3076600.2867711373</v>
      </c>
      <c r="H12" s="68"/>
    </row>
    <row r="13" spans="1:10" ht="15.75" x14ac:dyDescent="0.25">
      <c r="A13" s="284">
        <v>9</v>
      </c>
      <c r="B13" s="75">
        <v>2031</v>
      </c>
      <c r="C13" s="286">
        <v>100</v>
      </c>
      <c r="D13" s="163">
        <f t="shared" si="1"/>
        <v>19.776208114758418</v>
      </c>
      <c r="E13" s="74">
        <f t="shared" si="3"/>
        <v>41134.512878697511</v>
      </c>
      <c r="F13" s="81">
        <f t="shared" si="2"/>
        <v>4113451.287869751</v>
      </c>
      <c r="G13" s="80">
        <f>F13/1.07^5</f>
        <v>2932833.9182304288</v>
      </c>
      <c r="H13" s="68"/>
    </row>
    <row r="14" spans="1:10" ht="15.75" x14ac:dyDescent="0.25">
      <c r="A14" s="284">
        <v>10</v>
      </c>
      <c r="B14" s="75">
        <v>2032</v>
      </c>
      <c r="C14" s="286">
        <v>100</v>
      </c>
      <c r="D14" s="163">
        <f t="shared" si="1"/>
        <v>20.171732277053586</v>
      </c>
      <c r="E14" s="74">
        <f t="shared" si="3"/>
        <v>41957.203136271455</v>
      </c>
      <c r="F14" s="81">
        <f t="shared" si="2"/>
        <v>4195720.3136271453</v>
      </c>
      <c r="G14" s="80">
        <f>F14/1.07^6</f>
        <v>2795785.6042944272</v>
      </c>
      <c r="H14" s="68"/>
    </row>
    <row r="15" spans="1:10" ht="15.75" x14ac:dyDescent="0.25">
      <c r="A15" s="284">
        <v>11</v>
      </c>
      <c r="B15" s="75">
        <v>2033</v>
      </c>
      <c r="C15" s="286">
        <v>100</v>
      </c>
      <c r="D15" s="163">
        <f t="shared" si="1"/>
        <v>20.575166922594658</v>
      </c>
      <c r="E15" s="74">
        <f t="shared" si="3"/>
        <v>42796.347198996889</v>
      </c>
      <c r="F15" s="81">
        <f t="shared" si="2"/>
        <v>4279634.7198996888</v>
      </c>
      <c r="G15" s="80">
        <f>F15/1.07^7</f>
        <v>2665141.4171778657</v>
      </c>
      <c r="H15" s="68"/>
    </row>
    <row r="16" spans="1:10" ht="15.75" x14ac:dyDescent="0.25">
      <c r="A16" s="284">
        <v>12</v>
      </c>
      <c r="B16" s="75">
        <v>2034</v>
      </c>
      <c r="C16" s="286">
        <v>100</v>
      </c>
      <c r="D16" s="163">
        <f t="shared" si="1"/>
        <v>20.986670261046552</v>
      </c>
      <c r="E16" s="74">
        <f t="shared" si="3"/>
        <v>43652.274142976828</v>
      </c>
      <c r="F16" s="81">
        <f t="shared" si="2"/>
        <v>4365227.4142976832</v>
      </c>
      <c r="G16" s="80">
        <f>F16/1.07^8</f>
        <v>2540602.0986181526</v>
      </c>
      <c r="H16" s="68"/>
    </row>
    <row r="17" spans="1:8" ht="15.75" x14ac:dyDescent="0.25">
      <c r="A17" s="284">
        <v>13</v>
      </c>
      <c r="B17" s="75">
        <v>2035</v>
      </c>
      <c r="C17" s="286">
        <v>100</v>
      </c>
      <c r="D17" s="163">
        <f t="shared" si="1"/>
        <v>21.406403666267483</v>
      </c>
      <c r="E17" s="74">
        <f t="shared" si="3"/>
        <v>44525.319625836368</v>
      </c>
      <c r="F17" s="81">
        <f t="shared" si="2"/>
        <v>4452531.9625836369</v>
      </c>
      <c r="G17" s="80">
        <f>F17/1.07^9</f>
        <v>2421882.3743836591</v>
      </c>
      <c r="H17" s="68"/>
    </row>
    <row r="18" spans="1:8" ht="15.75" x14ac:dyDescent="0.25">
      <c r="A18" s="284">
        <v>14</v>
      </c>
      <c r="B18" s="75">
        <v>2036</v>
      </c>
      <c r="C18" s="286">
        <v>100</v>
      </c>
      <c r="D18" s="163">
        <f t="shared" si="1"/>
        <v>21.834531739592833</v>
      </c>
      <c r="E18" s="74">
        <f t="shared" si="3"/>
        <v>45415.826018353095</v>
      </c>
      <c r="F18" s="81">
        <f t="shared" si="2"/>
        <v>4541582.6018353095</v>
      </c>
      <c r="G18" s="80">
        <f>F18/1.07^10</f>
        <v>2308710.3008143296</v>
      </c>
      <c r="H18" s="68"/>
    </row>
    <row r="19" spans="1:8" ht="15.75" x14ac:dyDescent="0.25">
      <c r="A19" s="284">
        <v>15</v>
      </c>
      <c r="B19" s="75">
        <v>2037</v>
      </c>
      <c r="C19" s="286">
        <v>100</v>
      </c>
      <c r="D19" s="163">
        <f t="shared" si="1"/>
        <v>22.271222374384688</v>
      </c>
      <c r="E19" s="74">
        <f t="shared" si="3"/>
        <v>46324.142538720153</v>
      </c>
      <c r="F19" s="81">
        <f t="shared" si="2"/>
        <v>4632414.2538720155</v>
      </c>
      <c r="G19" s="80">
        <f>F19/1.07^11</f>
        <v>2200826.6418977715</v>
      </c>
      <c r="H19" s="68"/>
    </row>
    <row r="20" spans="1:8" ht="15.75" x14ac:dyDescent="0.25">
      <c r="A20" s="284">
        <v>16</v>
      </c>
      <c r="B20" s="75">
        <v>2038</v>
      </c>
      <c r="C20" s="286">
        <v>100</v>
      </c>
      <c r="D20" s="163">
        <f t="shared" si="1"/>
        <v>22.716646821872381</v>
      </c>
      <c r="E20" s="74">
        <f t="shared" si="3"/>
        <v>47250.625389494555</v>
      </c>
      <c r="F20" s="81">
        <f t="shared" si="2"/>
        <v>4725062.5389494551</v>
      </c>
      <c r="G20" s="80">
        <f>F20/1.07^12</f>
        <v>2097984.2754539507</v>
      </c>
      <c r="H20" s="68"/>
    </row>
    <row r="21" spans="1:8" ht="15.75" x14ac:dyDescent="0.25">
      <c r="A21" s="284">
        <v>17</v>
      </c>
      <c r="B21" s="75">
        <v>2039</v>
      </c>
      <c r="C21" s="286">
        <v>100</v>
      </c>
      <c r="D21" s="163">
        <f>(D20*0.01)+D20</f>
        <v>22.943813290091104</v>
      </c>
      <c r="E21" s="74">
        <f t="shared" si="3"/>
        <v>47723.131643389497</v>
      </c>
      <c r="F21" s="81">
        <f t="shared" si="2"/>
        <v>4772313.1643389501</v>
      </c>
      <c r="G21" s="80">
        <f>F21/1.07^13</f>
        <v>1980340.2973911122</v>
      </c>
      <c r="H21" s="68"/>
    </row>
    <row r="22" spans="1:8" ht="15.75" x14ac:dyDescent="0.25">
      <c r="A22" s="284">
        <v>18</v>
      </c>
      <c r="B22" s="75">
        <v>2040</v>
      </c>
      <c r="C22" s="286">
        <v>100</v>
      </c>
      <c r="D22" s="163">
        <f t="shared" ref="D22:D28" si="4">(D21*0.01)+D21</f>
        <v>23.173251422992013</v>
      </c>
      <c r="E22" s="74">
        <f t="shared" si="3"/>
        <v>48200.362959823389</v>
      </c>
      <c r="F22" s="81">
        <f t="shared" si="2"/>
        <v>4820036.2959823385</v>
      </c>
      <c r="G22" s="80">
        <f>F22/1.07^14</f>
        <v>1869293.1779112366</v>
      </c>
      <c r="H22" s="68"/>
    </row>
    <row r="23" spans="1:8" ht="15.75" x14ac:dyDescent="0.25">
      <c r="A23" s="284">
        <v>19</v>
      </c>
      <c r="B23" s="75">
        <v>2041</v>
      </c>
      <c r="C23" s="286">
        <v>100</v>
      </c>
      <c r="D23" s="163">
        <f t="shared" si="4"/>
        <v>23.404983937221935</v>
      </c>
      <c r="E23" s="74">
        <f t="shared" si="3"/>
        <v>48682.366589421625</v>
      </c>
      <c r="F23" s="81">
        <f t="shared" si="2"/>
        <v>4868236.6589421621</v>
      </c>
      <c r="G23" s="80">
        <f>F23/1.07^15</f>
        <v>1764472.9997106062</v>
      </c>
      <c r="H23" s="68"/>
    </row>
    <row r="24" spans="1:8" ht="15.75" x14ac:dyDescent="0.25">
      <c r="A24" s="284">
        <v>20</v>
      </c>
      <c r="B24" s="75">
        <v>2042</v>
      </c>
      <c r="C24" s="286">
        <v>100</v>
      </c>
      <c r="D24" s="163">
        <f t="shared" si="4"/>
        <v>23.639033776594154</v>
      </c>
      <c r="E24" s="74">
        <f t="shared" si="3"/>
        <v>49169.190255315843</v>
      </c>
      <c r="F24" s="81">
        <f t="shared" si="2"/>
        <v>4916919.0255315844</v>
      </c>
      <c r="G24" s="80">
        <f>F24/1.07^16</f>
        <v>1665530.5885118812</v>
      </c>
      <c r="H24" s="68"/>
    </row>
    <row r="25" spans="1:8" ht="15.75" x14ac:dyDescent="0.25">
      <c r="A25" s="284">
        <v>21</v>
      </c>
      <c r="B25" s="75">
        <v>2043</v>
      </c>
      <c r="C25" s="286">
        <v>100</v>
      </c>
      <c r="D25" s="163">
        <f t="shared" si="4"/>
        <v>23.875424114360094</v>
      </c>
      <c r="E25" s="74">
        <f t="shared" si="3"/>
        <v>49660.882157868997</v>
      </c>
      <c r="F25" s="81">
        <f t="shared" si="2"/>
        <v>4966088.2157868994</v>
      </c>
      <c r="G25" s="80">
        <f>F25/1.07^17</f>
        <v>1572136.3499037381</v>
      </c>
      <c r="H25" s="68"/>
    </row>
    <row r="26" spans="1:8" ht="15.75" x14ac:dyDescent="0.25">
      <c r="A26" s="284">
        <v>22</v>
      </c>
      <c r="B26" s="75">
        <v>2044</v>
      </c>
      <c r="C26" s="286">
        <v>100</v>
      </c>
      <c r="D26" s="163">
        <f t="shared" si="4"/>
        <v>24.114178355503693</v>
      </c>
      <c r="E26" s="74">
        <f t="shared" si="3"/>
        <v>50157.490979447684</v>
      </c>
      <c r="F26" s="81">
        <f t="shared" si="2"/>
        <v>5015749.0979447681</v>
      </c>
      <c r="G26" s="80">
        <f>F26/1.07^19</f>
        <v>1386896.4218733297</v>
      </c>
      <c r="H26" s="68"/>
    </row>
    <row r="27" spans="1:8" ht="15.75" x14ac:dyDescent="0.25">
      <c r="A27" s="284">
        <v>23</v>
      </c>
      <c r="B27" s="75">
        <v>2045</v>
      </c>
      <c r="C27" s="286">
        <v>100</v>
      </c>
      <c r="D27" s="163">
        <f t="shared" si="4"/>
        <v>24.35532013905873</v>
      </c>
      <c r="E27" s="74">
        <f t="shared" si="3"/>
        <v>50659.065889242156</v>
      </c>
      <c r="F27" s="81">
        <f t="shared" si="2"/>
        <v>5065906.5889242152</v>
      </c>
      <c r="G27" s="80">
        <f>F27/1.07^19</f>
        <v>1400765.3860920628</v>
      </c>
      <c r="H27" s="68"/>
    </row>
    <row r="28" spans="1:8" ht="15.75" x14ac:dyDescent="0.25">
      <c r="A28" s="284">
        <v>24</v>
      </c>
      <c r="B28" s="75">
        <v>2046</v>
      </c>
      <c r="C28" s="286">
        <v>100</v>
      </c>
      <c r="D28" s="163">
        <f t="shared" si="4"/>
        <v>24.598873340449316</v>
      </c>
      <c r="E28" s="74">
        <f t="shared" si="3"/>
        <v>51165.656548134575</v>
      </c>
      <c r="F28" s="81">
        <f t="shared" si="2"/>
        <v>5116565.6548134573</v>
      </c>
      <c r="G28" s="80">
        <f>F28/1.07^20</f>
        <v>1322217.7943485829</v>
      </c>
      <c r="H28" s="68"/>
    </row>
    <row r="29" spans="1:8" s="167" customFormat="1" ht="16.5" thickBot="1" x14ac:dyDescent="0.3">
      <c r="A29" s="284"/>
      <c r="B29" s="75"/>
      <c r="C29" s="286">
        <f>SUM(C9:C28)</f>
        <v>2400</v>
      </c>
      <c r="D29" s="163"/>
      <c r="E29" s="74"/>
      <c r="F29" s="166"/>
      <c r="G29" s="80"/>
      <c r="H29" s="68"/>
    </row>
    <row r="30" spans="1:8" ht="16.5" thickBot="1" x14ac:dyDescent="0.3">
      <c r="A30" s="340" t="s">
        <v>581</v>
      </c>
      <c r="B30" s="341"/>
      <c r="C30" s="341"/>
      <c r="D30" s="341"/>
      <c r="E30" s="76"/>
      <c r="F30" s="133">
        <f>SUM(F4:F28)</f>
        <v>103350153.15713808</v>
      </c>
      <c r="G30" s="77"/>
      <c r="H30" s="68"/>
    </row>
    <row r="31" spans="1:8" ht="16.5" thickBot="1" x14ac:dyDescent="0.3">
      <c r="A31" s="340" t="s">
        <v>582</v>
      </c>
      <c r="B31" s="341"/>
      <c r="C31" s="341"/>
      <c r="D31" s="341"/>
      <c r="E31" s="164"/>
      <c r="F31" s="78"/>
      <c r="G31" s="85">
        <f>SUM(G4:G30)</f>
        <v>58166456.425098211</v>
      </c>
      <c r="H31" s="68"/>
    </row>
    <row r="32" spans="1:8" ht="15.75" x14ac:dyDescent="0.25">
      <c r="A32" s="70" t="s">
        <v>686</v>
      </c>
      <c r="B32" s="68"/>
      <c r="C32" s="68"/>
      <c r="D32" s="68"/>
      <c r="E32" s="68"/>
      <c r="F32" s="68"/>
      <c r="G32" s="68"/>
      <c r="H32" s="68"/>
    </row>
    <row r="33" spans="1:8" ht="15.75" x14ac:dyDescent="0.25">
      <c r="A33" s="68"/>
      <c r="B33" s="68"/>
      <c r="C33" s="68"/>
      <c r="D33" s="68"/>
      <c r="E33" s="68"/>
      <c r="F33" s="68"/>
      <c r="G33" s="68"/>
      <c r="H33" s="68"/>
    </row>
    <row r="34" spans="1:8" ht="15.75" x14ac:dyDescent="0.25">
      <c r="A34" s="71" t="s">
        <v>685</v>
      </c>
      <c r="B34" s="71"/>
      <c r="C34" s="71"/>
      <c r="D34" s="71"/>
      <c r="E34" s="71"/>
      <c r="F34" s="71"/>
      <c r="G34" s="71"/>
      <c r="H34" s="71"/>
    </row>
    <row r="36" spans="1:8" x14ac:dyDescent="0.25">
      <c r="A36" s="61" t="s">
        <v>688</v>
      </c>
    </row>
    <row r="37" spans="1:8" x14ac:dyDescent="0.25">
      <c r="A37" s="376" t="s">
        <v>689</v>
      </c>
      <c r="B37" s="376"/>
      <c r="C37" s="376"/>
      <c r="D37" s="376"/>
      <c r="E37" s="376"/>
      <c r="F37" s="376"/>
      <c r="G37" s="376"/>
    </row>
    <row r="38" spans="1:8" ht="62.25" customHeight="1" x14ac:dyDescent="0.25">
      <c r="A38" s="376"/>
      <c r="B38" s="376"/>
      <c r="C38" s="376"/>
      <c r="D38" s="376"/>
      <c r="E38" s="376"/>
      <c r="F38" s="376"/>
      <c r="G38" s="376"/>
    </row>
  </sheetData>
  <mergeCells count="4">
    <mergeCell ref="A2:G2"/>
    <mergeCell ref="A30:D30"/>
    <mergeCell ref="A31:D31"/>
    <mergeCell ref="A37:G3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C7F65-8F1A-46A5-9441-18FBE47F1585}">
  <dimension ref="A1:M72"/>
  <sheetViews>
    <sheetView topLeftCell="D46" workbookViewId="0">
      <selection activeCell="K62" sqref="K62"/>
    </sheetView>
  </sheetViews>
  <sheetFormatPr defaultRowHeight="15" x14ac:dyDescent="0.25"/>
  <cols>
    <col min="1" max="1" width="32.5703125" customWidth="1"/>
    <col min="2" max="2" width="19" customWidth="1"/>
    <col min="3" max="3" width="18.140625" customWidth="1"/>
    <col min="4" max="4" width="13.5703125" customWidth="1"/>
    <col min="5" max="5" width="17.28515625" bestFit="1" customWidth="1"/>
    <col min="6" max="6" width="14.5703125" customWidth="1"/>
    <col min="7" max="7" width="12.42578125" customWidth="1"/>
    <col min="8" max="8" width="9.28515625" bestFit="1" customWidth="1"/>
    <col min="9" max="9" width="15.140625" customWidth="1"/>
    <col min="10" max="10" width="13.5703125" bestFit="1" customWidth="1"/>
    <col min="11" max="11" width="14.42578125" bestFit="1" customWidth="1"/>
    <col min="12" max="12" width="15.5703125" bestFit="1" customWidth="1"/>
    <col min="13" max="13" width="11.140625" bestFit="1" customWidth="1"/>
  </cols>
  <sheetData>
    <row r="1" spans="1:13" x14ac:dyDescent="0.25">
      <c r="D1" s="301" t="s">
        <v>626</v>
      </c>
      <c r="E1" s="302"/>
      <c r="F1" s="302"/>
      <c r="G1" s="302"/>
      <c r="H1" s="302"/>
      <c r="I1" s="302"/>
      <c r="J1" s="302"/>
      <c r="K1" s="302"/>
      <c r="L1" s="302"/>
      <c r="M1" s="194"/>
    </row>
    <row r="2" spans="1:13" ht="15.75" thickBot="1" x14ac:dyDescent="0.3">
      <c r="A2" s="303" t="s">
        <v>42</v>
      </c>
      <c r="B2" s="303"/>
      <c r="C2" s="303"/>
      <c r="D2" s="305" t="s">
        <v>42</v>
      </c>
      <c r="E2" s="304"/>
      <c r="F2" s="304"/>
      <c r="G2" s="304" t="s">
        <v>732</v>
      </c>
      <c r="H2" s="304"/>
      <c r="I2" s="304"/>
      <c r="J2" s="304" t="s">
        <v>155</v>
      </c>
      <c r="K2" s="304"/>
      <c r="L2" s="304"/>
      <c r="M2" s="203" t="s">
        <v>743</v>
      </c>
    </row>
    <row r="3" spans="1:13" x14ac:dyDescent="0.25">
      <c r="A3" t="s">
        <v>60</v>
      </c>
      <c r="B3">
        <v>2.19</v>
      </c>
      <c r="D3" s="197" t="s">
        <v>1</v>
      </c>
      <c r="E3" s="198" t="s">
        <v>2</v>
      </c>
      <c r="F3" s="198" t="s">
        <v>4</v>
      </c>
      <c r="G3" s="198" t="s">
        <v>1</v>
      </c>
      <c r="H3" s="198" t="s">
        <v>2</v>
      </c>
      <c r="I3" s="198" t="s">
        <v>4</v>
      </c>
      <c r="J3" s="198" t="s">
        <v>1</v>
      </c>
      <c r="K3" s="198" t="s">
        <v>2</v>
      </c>
      <c r="L3" s="201" t="s">
        <v>4</v>
      </c>
      <c r="M3" s="199"/>
    </row>
    <row r="4" spans="1:13" x14ac:dyDescent="0.25">
      <c r="A4" t="s">
        <v>73</v>
      </c>
      <c r="B4">
        <v>7830</v>
      </c>
      <c r="D4" s="195">
        <v>2022</v>
      </c>
      <c r="E4" s="196">
        <v>1</v>
      </c>
      <c r="F4" s="200"/>
      <c r="G4" s="196">
        <v>2022</v>
      </c>
      <c r="H4" s="196">
        <v>1</v>
      </c>
      <c r="I4" s="200"/>
      <c r="J4" s="196">
        <v>2022</v>
      </c>
      <c r="K4" s="196">
        <v>1</v>
      </c>
      <c r="L4" s="202"/>
      <c r="M4" s="7"/>
    </row>
    <row r="5" spans="1:13" x14ac:dyDescent="0.25">
      <c r="A5" t="s">
        <v>161</v>
      </c>
      <c r="B5" s="4">
        <v>26332.959660297245</v>
      </c>
      <c r="D5" s="195">
        <v>2023</v>
      </c>
      <c r="E5" s="196">
        <v>2</v>
      </c>
      <c r="F5" s="200"/>
      <c r="G5" s="196">
        <v>2023</v>
      </c>
      <c r="H5" s="196">
        <v>2</v>
      </c>
      <c r="I5" s="200"/>
      <c r="J5" s="196">
        <v>2023</v>
      </c>
      <c r="K5" s="196">
        <v>2</v>
      </c>
      <c r="L5" s="202"/>
      <c r="M5" s="7"/>
    </row>
    <row r="6" spans="1:13" x14ac:dyDescent="0.25">
      <c r="A6" t="s">
        <v>74</v>
      </c>
      <c r="B6">
        <f>B3*B4*365</f>
        <v>6258910.5</v>
      </c>
      <c r="D6" s="195">
        <v>2024</v>
      </c>
      <c r="E6" s="196">
        <v>3</v>
      </c>
      <c r="F6" s="200">
        <f>$K$36/(1.07^2)</f>
        <v>1987994.9761062814</v>
      </c>
      <c r="G6" s="196">
        <v>2024</v>
      </c>
      <c r="H6" s="196">
        <v>3</v>
      </c>
      <c r="I6" s="200">
        <f>K52/(1.07^2)</f>
        <v>367819.30933153495</v>
      </c>
      <c r="J6" s="196">
        <v>2024</v>
      </c>
      <c r="K6" s="196">
        <v>3</v>
      </c>
      <c r="L6" s="202">
        <f>K67/(1.07^2)</f>
        <v>48548.276991300481</v>
      </c>
      <c r="M6" s="7"/>
    </row>
    <row r="7" spans="1:13" x14ac:dyDescent="0.25">
      <c r="A7" t="s">
        <v>61</v>
      </c>
      <c r="B7">
        <f>B3*B5*365</f>
        <v>21049251.304458603</v>
      </c>
      <c r="D7" s="195">
        <v>2025</v>
      </c>
      <c r="E7" s="196">
        <v>4</v>
      </c>
      <c r="F7" s="200">
        <f>K36/(1.07^3)</f>
        <v>1857939.2300058703</v>
      </c>
      <c r="G7" s="196">
        <v>2025</v>
      </c>
      <c r="H7" s="196">
        <v>4</v>
      </c>
      <c r="I7" s="200">
        <f>K52/(1.07^3)</f>
        <v>343756.36386124761</v>
      </c>
      <c r="J7" s="196">
        <v>2025</v>
      </c>
      <c r="K7" s="196">
        <v>4</v>
      </c>
      <c r="L7" s="202">
        <f>K67/(1.07^3)</f>
        <v>45372.221487196708</v>
      </c>
      <c r="M7" s="7"/>
    </row>
    <row r="8" spans="1:13" x14ac:dyDescent="0.25">
      <c r="A8" t="s">
        <v>62</v>
      </c>
      <c r="B8">
        <f>(B7-B6)/B6</f>
        <v>2.3630855249421772</v>
      </c>
      <c r="D8" s="195">
        <v>2026</v>
      </c>
      <c r="E8" s="196">
        <v>5</v>
      </c>
      <c r="F8" s="200">
        <f>K36/(1.07^4)</f>
        <v>1736391.8037438041</v>
      </c>
      <c r="G8" s="196">
        <v>2026</v>
      </c>
      <c r="H8" s="196">
        <v>5</v>
      </c>
      <c r="I8" s="200">
        <f>K52/(1.07^4)</f>
        <v>321267.62977686693</v>
      </c>
      <c r="J8" s="196">
        <v>2026</v>
      </c>
      <c r="K8" s="196">
        <v>5</v>
      </c>
      <c r="L8" s="202">
        <f>K67/(1.07^4)</f>
        <v>42403.94531513712</v>
      </c>
      <c r="M8" s="7"/>
    </row>
    <row r="9" spans="1:13" x14ac:dyDescent="0.25">
      <c r="D9" s="195">
        <v>2027</v>
      </c>
      <c r="E9" s="196">
        <v>6</v>
      </c>
      <c r="F9" s="200">
        <f>K36/(1.07^5)</f>
        <v>1622796.0782652374</v>
      </c>
      <c r="G9" s="196">
        <v>2027</v>
      </c>
      <c r="H9" s="196">
        <v>6</v>
      </c>
      <c r="I9" s="200">
        <f>K52/(1.07^5)</f>
        <v>300250.12128679152</v>
      </c>
      <c r="J9" s="196">
        <v>2027</v>
      </c>
      <c r="K9" s="196">
        <v>6</v>
      </c>
      <c r="L9" s="202">
        <f>K67/(1.07^5)</f>
        <v>39629.855434707584</v>
      </c>
      <c r="M9" s="7"/>
    </row>
    <row r="10" spans="1:13" x14ac:dyDescent="0.25">
      <c r="D10" s="195">
        <v>2028</v>
      </c>
      <c r="E10" s="196">
        <v>7</v>
      </c>
      <c r="F10" s="200">
        <f>K36/(1.07^6)</f>
        <v>1516631.8488460162</v>
      </c>
      <c r="G10" s="196">
        <v>2028</v>
      </c>
      <c r="H10" s="196">
        <v>7</v>
      </c>
      <c r="I10" s="200">
        <f>K52/(1.07^6)</f>
        <v>280607.58998765564</v>
      </c>
      <c r="J10" s="196">
        <v>2028</v>
      </c>
      <c r="K10" s="196">
        <v>7</v>
      </c>
      <c r="L10" s="202">
        <f>K67/(1.07^6)</f>
        <v>37037.248069820176</v>
      </c>
      <c r="M10" s="7"/>
    </row>
    <row r="11" spans="1:13" x14ac:dyDescent="0.25">
      <c r="D11" s="195">
        <v>2029</v>
      </c>
      <c r="E11" s="196">
        <v>8</v>
      </c>
      <c r="F11" s="200">
        <f>K36/(1.07^7)</f>
        <v>1417412.9428467441</v>
      </c>
      <c r="G11" s="196">
        <v>2029</v>
      </c>
      <c r="H11" s="196">
        <v>8</v>
      </c>
      <c r="I11" s="200">
        <f>K52/(1.07^7)</f>
        <v>262250.08410061273</v>
      </c>
      <c r="J11" s="196">
        <v>2029</v>
      </c>
      <c r="K11" s="196">
        <v>8</v>
      </c>
      <c r="L11" s="202">
        <f>K67/(1.07^7)</f>
        <v>34614.250532542217</v>
      </c>
      <c r="M11" s="7"/>
    </row>
    <row r="12" spans="1:13" x14ac:dyDescent="0.25">
      <c r="D12" s="195">
        <v>2030</v>
      </c>
      <c r="E12" s="196">
        <v>9</v>
      </c>
      <c r="F12" s="200">
        <f>K36/(1.07^8)</f>
        <v>1324684.9933147142</v>
      </c>
      <c r="G12" s="196">
        <v>2030</v>
      </c>
      <c r="H12" s="196">
        <v>9</v>
      </c>
      <c r="I12" s="200">
        <f>K52/(1.07^8)</f>
        <v>245093.53654262872</v>
      </c>
      <c r="J12" s="196">
        <v>2030</v>
      </c>
      <c r="K12" s="196">
        <v>9</v>
      </c>
      <c r="L12" s="202">
        <f>K67/(1.07^8)</f>
        <v>32349.766852843193</v>
      </c>
      <c r="M12" s="7"/>
    </row>
    <row r="13" spans="1:13" x14ac:dyDescent="0.25">
      <c r="D13" s="195">
        <v>2031</v>
      </c>
      <c r="E13" s="196">
        <v>10</v>
      </c>
      <c r="F13" s="200">
        <f>K36/(1.07^9)</f>
        <v>1238023.3582380505</v>
      </c>
      <c r="G13" s="196">
        <v>2031</v>
      </c>
      <c r="H13" s="196">
        <v>10</v>
      </c>
      <c r="I13" s="200">
        <f>K52/(1.07^9)</f>
        <v>229059.37994638196</v>
      </c>
      <c r="J13" s="196">
        <v>2031</v>
      </c>
      <c r="K13" s="196">
        <v>10</v>
      </c>
      <c r="L13" s="202">
        <f>K67/(1.07^9)</f>
        <v>30233.426965274008</v>
      </c>
      <c r="M13" s="7"/>
    </row>
    <row r="14" spans="1:13" x14ac:dyDescent="0.25">
      <c r="D14" s="195">
        <v>2032</v>
      </c>
      <c r="E14" s="196">
        <v>11</v>
      </c>
      <c r="F14" s="200">
        <f>K36/(1.07^10)</f>
        <v>1157031.1759234117</v>
      </c>
      <c r="G14" s="196">
        <v>2032</v>
      </c>
      <c r="H14" s="196">
        <v>11</v>
      </c>
      <c r="I14" s="200">
        <f>K52/(1.07^10)</f>
        <v>214074.18686577753</v>
      </c>
      <c r="J14" s="196">
        <v>2032</v>
      </c>
      <c r="K14" s="196">
        <v>11</v>
      </c>
      <c r="L14" s="202">
        <f>K67/(1.07^10)</f>
        <v>28255.539219882252</v>
      </c>
      <c r="M14" s="7"/>
    </row>
    <row r="15" spans="1:13" x14ac:dyDescent="0.25">
      <c r="D15" s="195">
        <v>2033</v>
      </c>
      <c r="E15" s="196">
        <v>12</v>
      </c>
      <c r="F15" s="200">
        <f>K36/(1.07^11)</f>
        <v>1081337.5475919733</v>
      </c>
      <c r="G15" s="196">
        <v>2033</v>
      </c>
      <c r="H15" s="196">
        <v>12</v>
      </c>
      <c r="I15" s="200">
        <f>K52/(1.07^11)</f>
        <v>200069.33351941823</v>
      </c>
      <c r="J15" s="196">
        <v>2033</v>
      </c>
      <c r="K15" s="196">
        <v>12</v>
      </c>
      <c r="L15" s="202">
        <f>K67/(1.07^11)</f>
        <v>26407.045999889953</v>
      </c>
      <c r="M15" s="7"/>
    </row>
    <row r="16" spans="1:13" x14ac:dyDescent="0.25">
      <c r="D16" s="195">
        <v>2034</v>
      </c>
      <c r="E16" s="196">
        <v>13</v>
      </c>
      <c r="F16" s="200">
        <f>K36/(1.07^12)</f>
        <v>1010595.8388710034</v>
      </c>
      <c r="G16" s="196">
        <v>2034</v>
      </c>
      <c r="H16" s="196">
        <v>13</v>
      </c>
      <c r="I16" s="200">
        <f>K52/(1.07^12)</f>
        <v>186980.68553216662</v>
      </c>
      <c r="J16" s="196">
        <v>2034</v>
      </c>
      <c r="K16" s="196">
        <v>13</v>
      </c>
      <c r="L16" s="202">
        <f>K67/(1.07^12)</f>
        <v>24679.482242887811</v>
      </c>
      <c r="M16" s="7"/>
    </row>
    <row r="17" spans="4:13" x14ac:dyDescent="0.25">
      <c r="D17" s="195">
        <v>2035</v>
      </c>
      <c r="E17" s="196">
        <v>14</v>
      </c>
      <c r="F17" s="200">
        <f>K36/(1.07^13)</f>
        <v>944482.09240280685</v>
      </c>
      <c r="G17" s="196">
        <v>2035</v>
      </c>
      <c r="H17" s="196">
        <v>14</v>
      </c>
      <c r="I17" s="200">
        <f>K52/(1.07^13)</f>
        <v>174748.30423566973</v>
      </c>
      <c r="J17" s="196">
        <v>2035</v>
      </c>
      <c r="K17" s="196">
        <v>14</v>
      </c>
      <c r="L17" s="202">
        <f>K67/(1.07^13)</f>
        <v>23064.936675596084</v>
      </c>
      <c r="M17" s="7"/>
    </row>
    <row r="18" spans="4:13" x14ac:dyDescent="0.25">
      <c r="D18" s="195">
        <v>2036</v>
      </c>
      <c r="E18" s="196">
        <v>15</v>
      </c>
      <c r="F18" s="200">
        <f>K36/(1.07^14)</f>
        <v>882693.54430168867</v>
      </c>
      <c r="G18" s="196">
        <v>2036</v>
      </c>
      <c r="H18" s="196">
        <v>15</v>
      </c>
      <c r="I18" s="200">
        <f>K52/(1.07^14)</f>
        <v>163316.1721828689</v>
      </c>
      <c r="J18" s="196">
        <v>2036</v>
      </c>
      <c r="K18" s="196">
        <v>15</v>
      </c>
      <c r="L18" s="202">
        <f>K67/(1.07^14)</f>
        <v>21556.015584669236</v>
      </c>
      <c r="M18" s="7"/>
    </row>
    <row r="19" spans="4:13" x14ac:dyDescent="0.25">
      <c r="D19" s="195">
        <v>2037</v>
      </c>
      <c r="E19" s="196">
        <v>16</v>
      </c>
      <c r="F19" s="200">
        <f>K36/(1.07^15)</f>
        <v>824947.23766512948</v>
      </c>
      <c r="G19" s="196">
        <v>2037</v>
      </c>
      <c r="H19" s="196">
        <v>16</v>
      </c>
      <c r="I19" s="200">
        <f>K52/(1.07^15)</f>
        <v>152631.93661950363</v>
      </c>
      <c r="J19" s="196">
        <v>2037</v>
      </c>
      <c r="K19" s="196">
        <v>16</v>
      </c>
      <c r="L19" s="202">
        <f>K67/(1.07^15)</f>
        <v>20145.808957634799</v>
      </c>
      <c r="M19" s="7"/>
    </row>
    <row r="20" spans="4:13" x14ac:dyDescent="0.25">
      <c r="D20" s="195">
        <v>2038</v>
      </c>
      <c r="E20" s="196">
        <v>17</v>
      </c>
      <c r="F20" s="200">
        <f>K36/(1.07^16)</f>
        <v>770978.72678984073</v>
      </c>
      <c r="G20" s="196">
        <v>2038</v>
      </c>
      <c r="H20" s="196">
        <v>17</v>
      </c>
      <c r="I20" s="200">
        <f>K52/(1.07^16)</f>
        <v>142646.66973785387</v>
      </c>
      <c r="J20" s="196">
        <v>2038</v>
      </c>
      <c r="K20" s="196">
        <v>17</v>
      </c>
      <c r="L20" s="202">
        <f>K67/(1.07^16)</f>
        <v>18827.85883891103</v>
      </c>
      <c r="M20" s="7"/>
    </row>
    <row r="21" spans="4:13" x14ac:dyDescent="0.25">
      <c r="D21" s="195">
        <v>2039</v>
      </c>
      <c r="E21" s="196">
        <v>18</v>
      </c>
      <c r="F21" s="200">
        <f>K36/(1.07^17)</f>
        <v>720540.86615872965</v>
      </c>
      <c r="G21" s="196">
        <v>2039</v>
      </c>
      <c r="H21" s="196">
        <v>18</v>
      </c>
      <c r="I21" s="200">
        <f>K52/(1.07^17)</f>
        <v>133314.6446148167</v>
      </c>
      <c r="J21" s="196">
        <v>2039</v>
      </c>
      <c r="K21" s="196">
        <v>18</v>
      </c>
      <c r="L21" s="202">
        <f>K67/(1.07^17)</f>
        <v>17596.129755991617</v>
      </c>
      <c r="M21" s="7"/>
    </row>
    <row r="22" spans="4:13" x14ac:dyDescent="0.25">
      <c r="D22" s="195">
        <v>2040</v>
      </c>
      <c r="E22" s="196">
        <v>19</v>
      </c>
      <c r="F22" s="200">
        <f>K36/(1.07^18)</f>
        <v>673402.67865301843</v>
      </c>
      <c r="G22" s="196">
        <v>2040</v>
      </c>
      <c r="H22" s="196">
        <v>19</v>
      </c>
      <c r="I22" s="200">
        <f>K52/(1.07^18)</f>
        <v>124593.12580823991</v>
      </c>
      <c r="J22" s="196">
        <v>2040</v>
      </c>
      <c r="K22" s="196">
        <v>19</v>
      </c>
      <c r="L22" s="202">
        <f>K67/(1.07^18)</f>
        <v>16444.981080365997</v>
      </c>
      <c r="M22" s="7"/>
    </row>
    <row r="23" spans="4:13" x14ac:dyDescent="0.25">
      <c r="D23" s="195">
        <v>2041</v>
      </c>
      <c r="E23" s="196">
        <v>20</v>
      </c>
      <c r="F23" s="200">
        <f>K36/(1.07^19)</f>
        <v>629348.29780655925</v>
      </c>
      <c r="G23" s="196">
        <v>2041</v>
      </c>
      <c r="H23" s="196">
        <v>20</v>
      </c>
      <c r="I23" s="200">
        <f>K52/(1.07^19)</f>
        <v>116442.17365256065</v>
      </c>
      <c r="J23" s="196">
        <v>2041</v>
      </c>
      <c r="K23" s="196">
        <v>20</v>
      </c>
      <c r="L23" s="202">
        <f>K67/(1.07^19)</f>
        <v>15369.141196603734</v>
      </c>
      <c r="M23" s="7"/>
    </row>
    <row r="24" spans="4:13" x14ac:dyDescent="0.25">
      <c r="D24" s="195">
        <v>2042</v>
      </c>
      <c r="E24" s="196">
        <v>21</v>
      </c>
      <c r="F24" s="200">
        <f>K36/(1.07^20)</f>
        <v>588175.97925846663</v>
      </c>
      <c r="G24" s="196">
        <v>2042</v>
      </c>
      <c r="H24" s="196">
        <v>21</v>
      </c>
      <c r="I24" s="200">
        <f>K52/(1.07^20)</f>
        <v>108824.46135753334</v>
      </c>
      <c r="J24" s="196">
        <v>2042</v>
      </c>
      <c r="K24" s="196">
        <v>21</v>
      </c>
      <c r="L24" s="202">
        <f>K67/(1.07^20)</f>
        <v>14363.683361311902</v>
      </c>
      <c r="M24" s="7"/>
    </row>
    <row r="25" spans="4:13" x14ac:dyDescent="0.25">
      <c r="D25" s="195">
        <v>2043</v>
      </c>
      <c r="E25" s="196">
        <v>22</v>
      </c>
      <c r="F25" s="200">
        <f>K36/(1.07^21)</f>
        <v>549697.1768770715</v>
      </c>
      <c r="G25" s="196">
        <v>2043</v>
      </c>
      <c r="H25" s="196">
        <v>22</v>
      </c>
      <c r="I25" s="200">
        <f>K52/(1.07^21)</f>
        <v>101705.10407246105</v>
      </c>
      <c r="J25" s="196">
        <v>2043</v>
      </c>
      <c r="K25" s="196">
        <v>22</v>
      </c>
      <c r="L25" s="202">
        <f>K67/(1.07^21)</f>
        <v>13424.003141412992</v>
      </c>
      <c r="M25" s="7"/>
    </row>
    <row r="26" spans="4:13" x14ac:dyDescent="0.25">
      <c r="D26" s="195">
        <v>2044</v>
      </c>
      <c r="E26" s="196">
        <v>23</v>
      </c>
      <c r="F26" s="200">
        <f>K36/(1.07^22)</f>
        <v>513735.67932436592</v>
      </c>
      <c r="G26" s="196">
        <v>2044</v>
      </c>
      <c r="H26" s="196">
        <v>23</v>
      </c>
      <c r="I26" s="200">
        <f>K52/(1.07^22)</f>
        <v>95051.499133141173</v>
      </c>
      <c r="J26" s="196">
        <v>2044</v>
      </c>
      <c r="K26" s="196">
        <v>23</v>
      </c>
      <c r="L26" s="202">
        <f>K67/(1.07^22)</f>
        <v>12545.797328423356</v>
      </c>
      <c r="M26" s="7"/>
    </row>
    <row r="27" spans="4:13" x14ac:dyDescent="0.25">
      <c r="D27" s="204">
        <v>2045</v>
      </c>
      <c r="E27" s="205">
        <v>24</v>
      </c>
      <c r="F27" s="206">
        <f>K36/(1.07^23)</f>
        <v>480126.80310688406</v>
      </c>
      <c r="G27" s="205">
        <v>2045</v>
      </c>
      <c r="H27" s="205">
        <v>24</v>
      </c>
      <c r="I27" s="206">
        <f>K52/(1.07^23)</f>
        <v>88833.176759945025</v>
      </c>
      <c r="J27" s="205">
        <v>2045</v>
      </c>
      <c r="K27" s="205">
        <v>24</v>
      </c>
      <c r="L27" s="207">
        <f>K67/(1.07^23)</f>
        <v>11725.044232171362</v>
      </c>
      <c r="M27" s="208"/>
    </row>
    <row r="28" spans="4:13" ht="15.75" thickBot="1" x14ac:dyDescent="0.3">
      <c r="D28" s="190" t="s">
        <v>582</v>
      </c>
      <c r="E28" s="191"/>
      <c r="F28" s="192">
        <f>SUM(F6:F27)</f>
        <v>23528968.876097668</v>
      </c>
      <c r="G28" s="191"/>
      <c r="H28" s="191"/>
      <c r="I28" s="192">
        <f>SUM(I6:I27)</f>
        <v>4353335.4889256759</v>
      </c>
      <c r="J28" s="191"/>
      <c r="K28" s="191"/>
      <c r="L28" s="192">
        <f>SUM(L6:L27)</f>
        <v>574594.45926457364</v>
      </c>
      <c r="M28" s="193">
        <f>F28+I28+L28</f>
        <v>28456898.824287917</v>
      </c>
    </row>
    <row r="30" spans="4:13" ht="15.75" thickBot="1" x14ac:dyDescent="0.3"/>
    <row r="31" spans="4:13" ht="30" x14ac:dyDescent="0.25">
      <c r="D31" s="209"/>
      <c r="E31" s="210" t="s">
        <v>57</v>
      </c>
      <c r="F31" s="210" t="s">
        <v>58</v>
      </c>
      <c r="G31" s="210" t="s">
        <v>44</v>
      </c>
      <c r="H31" s="210" t="s">
        <v>64</v>
      </c>
      <c r="I31" s="210" t="s">
        <v>66</v>
      </c>
      <c r="J31" s="210" t="s">
        <v>65</v>
      </c>
      <c r="K31" s="211" t="s">
        <v>67</v>
      </c>
    </row>
    <row r="32" spans="4:13" x14ac:dyDescent="0.25">
      <c r="D32" s="221" t="s">
        <v>41</v>
      </c>
      <c r="E32" s="182">
        <v>0.16666666666666666</v>
      </c>
      <c r="F32" s="182">
        <f>E32*(B8)</f>
        <v>0.39384758749036286</v>
      </c>
      <c r="G32" s="182">
        <v>0.64</v>
      </c>
      <c r="H32" s="182">
        <f>G32*F32</f>
        <v>0.25206245599383226</v>
      </c>
      <c r="I32" s="182">
        <f>F32-H32</f>
        <v>0.1417851314965306</v>
      </c>
      <c r="J32" s="214">
        <v>11600000</v>
      </c>
      <c r="K32" s="216">
        <f>I32*J32</f>
        <v>1644707.5253597549</v>
      </c>
    </row>
    <row r="33" spans="4:11" ht="45" x14ac:dyDescent="0.25">
      <c r="D33" s="221" t="s">
        <v>63</v>
      </c>
      <c r="E33" s="182">
        <v>0.5</v>
      </c>
      <c r="F33" s="182">
        <f>E33*(B8)</f>
        <v>1.1815427624710886</v>
      </c>
      <c r="G33" s="182">
        <v>0.64</v>
      </c>
      <c r="H33" s="182">
        <f t="shared" ref="H33:H35" si="0">G33*F33</f>
        <v>0.75618736798149666</v>
      </c>
      <c r="I33" s="182">
        <f t="shared" ref="I33:I35" si="1">F33-H33</f>
        <v>0.42535539448959192</v>
      </c>
      <c r="J33" s="214">
        <v>554800</v>
      </c>
      <c r="K33" s="216">
        <f t="shared" ref="K33:K35" si="2">I33*J33</f>
        <v>235987.1728628256</v>
      </c>
    </row>
    <row r="34" spans="4:11" x14ac:dyDescent="0.25">
      <c r="D34" s="221" t="s">
        <v>35</v>
      </c>
      <c r="E34" s="182">
        <v>3.3333333333333335</v>
      </c>
      <c r="F34" s="182">
        <f>E34*(B8)</f>
        <v>7.8769517498072572</v>
      </c>
      <c r="G34" s="182">
        <v>0.69</v>
      </c>
      <c r="H34" s="182">
        <f t="shared" si="0"/>
        <v>5.4350967073670073</v>
      </c>
      <c r="I34" s="182">
        <f t="shared" si="1"/>
        <v>2.4418550424402499</v>
      </c>
      <c r="J34" s="214">
        <v>151100</v>
      </c>
      <c r="K34" s="216">
        <f t="shared" si="2"/>
        <v>368964.29691272177</v>
      </c>
    </row>
    <row r="35" spans="4:11" x14ac:dyDescent="0.25">
      <c r="D35" s="221" t="s">
        <v>36</v>
      </c>
      <c r="E35" s="182">
        <v>7.833333333333333</v>
      </c>
      <c r="F35" s="182">
        <f>E35*(B8)</f>
        <v>18.510836612047054</v>
      </c>
      <c r="G35" s="182">
        <v>0.69</v>
      </c>
      <c r="H35" s="182">
        <f t="shared" si="0"/>
        <v>12.772477262312467</v>
      </c>
      <c r="I35" s="182">
        <f t="shared" si="1"/>
        <v>5.7383593497345871</v>
      </c>
      <c r="J35" s="214">
        <v>4600</v>
      </c>
      <c r="K35" s="216">
        <f t="shared" si="2"/>
        <v>26396.453008779099</v>
      </c>
    </row>
    <row r="36" spans="4:11" ht="15.75" thickBot="1" x14ac:dyDescent="0.3">
      <c r="D36" s="222"/>
      <c r="E36" s="179"/>
      <c r="F36" s="179"/>
      <c r="G36" s="179"/>
      <c r="H36" s="179"/>
      <c r="I36" s="179"/>
      <c r="J36" s="179"/>
      <c r="K36" s="218">
        <f>SUM(K32:K35)</f>
        <v>2276055.4481440815</v>
      </c>
    </row>
    <row r="38" spans="4:11" x14ac:dyDescent="0.25">
      <c r="D38" s="303" t="s">
        <v>732</v>
      </c>
      <c r="E38" s="303"/>
      <c r="F38" s="303"/>
      <c r="G38" s="303"/>
    </row>
    <row r="39" spans="4:11" x14ac:dyDescent="0.25">
      <c r="D39" s="306" t="s">
        <v>60</v>
      </c>
      <c r="E39" s="306"/>
      <c r="F39">
        <v>1.64</v>
      </c>
    </row>
    <row r="40" spans="4:11" x14ac:dyDescent="0.25">
      <c r="D40" s="307" t="s">
        <v>73</v>
      </c>
      <c r="E40" s="307"/>
      <c r="F40">
        <v>10064</v>
      </c>
    </row>
    <row r="41" spans="4:11" x14ac:dyDescent="0.25">
      <c r="D41" s="307" t="s">
        <v>59</v>
      </c>
      <c r="E41" s="307"/>
      <c r="F41" s="4">
        <v>28718.052378085489</v>
      </c>
    </row>
    <row r="42" spans="4:11" x14ac:dyDescent="0.25">
      <c r="D42" s="307" t="s">
        <v>74</v>
      </c>
      <c r="E42" s="307"/>
      <c r="F42">
        <f>F39*F40*365</f>
        <v>6024310.3999999994</v>
      </c>
    </row>
    <row r="43" spans="4:11" x14ac:dyDescent="0.25">
      <c r="D43" s="307" t="s">
        <v>61</v>
      </c>
      <c r="E43" s="307"/>
      <c r="F43">
        <f>F39*F41*365</f>
        <v>17190626.15352197</v>
      </c>
    </row>
    <row r="44" spans="4:11" x14ac:dyDescent="0.25">
      <c r="D44" s="307" t="s">
        <v>62</v>
      </c>
      <c r="E44" s="307"/>
      <c r="F44">
        <f>(F43-F42)/F42</f>
        <v>1.8535425653900524</v>
      </c>
    </row>
    <row r="46" spans="4:11" ht="15.75" thickBot="1" x14ac:dyDescent="0.3"/>
    <row r="47" spans="4:11" ht="30" x14ac:dyDescent="0.25">
      <c r="D47" s="209"/>
      <c r="E47" s="210" t="s">
        <v>57</v>
      </c>
      <c r="F47" s="210" t="s">
        <v>58</v>
      </c>
      <c r="G47" s="210" t="s">
        <v>44</v>
      </c>
      <c r="H47" s="210" t="s">
        <v>64</v>
      </c>
      <c r="I47" s="210" t="s">
        <v>66</v>
      </c>
      <c r="J47" s="210" t="s">
        <v>65</v>
      </c>
      <c r="K47" s="211" t="s">
        <v>67</v>
      </c>
    </row>
    <row r="48" spans="4:11" x14ac:dyDescent="0.25">
      <c r="D48" s="221" t="s">
        <v>41</v>
      </c>
      <c r="E48" s="182">
        <v>0</v>
      </c>
      <c r="F48" s="182">
        <f>E48*F44</f>
        <v>0</v>
      </c>
      <c r="G48" s="182">
        <v>0.69</v>
      </c>
      <c r="H48" s="182">
        <f>F48*G48</f>
        <v>0</v>
      </c>
      <c r="I48" s="182">
        <f>F48-H48</f>
        <v>0</v>
      </c>
      <c r="J48" s="214">
        <v>11600000</v>
      </c>
      <c r="K48" s="215">
        <f>I48*J48</f>
        <v>0</v>
      </c>
    </row>
    <row r="49" spans="4:11" ht="45" x14ac:dyDescent="0.25">
      <c r="D49" s="221" t="s">
        <v>63</v>
      </c>
      <c r="E49" s="182">
        <v>0.66666700000000001</v>
      </c>
      <c r="F49" s="182">
        <f>E49*F44</f>
        <v>1.23569566144089</v>
      </c>
      <c r="G49" s="182">
        <v>0.69</v>
      </c>
      <c r="H49" s="182">
        <f>G49*F49</f>
        <v>0.85263000639421405</v>
      </c>
      <c r="I49" s="182">
        <f>F49-H49</f>
        <v>0.383065655046676</v>
      </c>
      <c r="J49" s="214">
        <v>554800</v>
      </c>
      <c r="K49" s="216">
        <f>I49*J49</f>
        <v>212524.82541989585</v>
      </c>
    </row>
    <row r="50" spans="4:11" x14ac:dyDescent="0.25">
      <c r="D50" s="221" t="s">
        <v>35</v>
      </c>
      <c r="E50" s="182">
        <v>2.6666666666666665</v>
      </c>
      <c r="F50" s="182">
        <f>E50*F44</f>
        <v>4.9427801743734729</v>
      </c>
      <c r="G50" s="182">
        <v>0.74</v>
      </c>
      <c r="H50" s="182">
        <f>G50*F50</f>
        <v>3.6576573290363701</v>
      </c>
      <c r="I50" s="182">
        <f>F50-H50</f>
        <v>1.2851228453371029</v>
      </c>
      <c r="J50" s="214">
        <v>151100</v>
      </c>
      <c r="K50" s="216">
        <f>I50*J50</f>
        <v>194182.06193043623</v>
      </c>
    </row>
    <row r="51" spans="4:11" x14ac:dyDescent="0.25">
      <c r="D51" s="221" t="s">
        <v>36</v>
      </c>
      <c r="E51" s="182">
        <v>6.5</v>
      </c>
      <c r="F51" s="182">
        <f>E51*F44</f>
        <v>12.04802667503534</v>
      </c>
      <c r="G51" s="182">
        <v>0.74</v>
      </c>
      <c r="H51" s="182">
        <f>F51*G51</f>
        <v>8.9155397395261513</v>
      </c>
      <c r="I51" s="182">
        <f>F51-H51</f>
        <v>3.1324869355091884</v>
      </c>
      <c r="J51" s="214">
        <v>4600</v>
      </c>
      <c r="K51" s="216">
        <f>I51*J51</f>
        <v>14409.439903342267</v>
      </c>
    </row>
    <row r="52" spans="4:11" ht="15.75" thickBot="1" x14ac:dyDescent="0.3">
      <c r="D52" s="222"/>
      <c r="E52" s="179"/>
      <c r="F52" s="179"/>
      <c r="G52" s="179"/>
      <c r="H52" s="179"/>
      <c r="I52" s="179"/>
      <c r="J52" s="179"/>
      <c r="K52" s="217">
        <f>SUM(K48:K51)</f>
        <v>421116.32725367439</v>
      </c>
    </row>
    <row r="54" spans="4:11" x14ac:dyDescent="0.25">
      <c r="D54" s="303" t="s">
        <v>155</v>
      </c>
      <c r="E54" s="303"/>
      <c r="F54" s="303"/>
      <c r="G54" s="303"/>
    </row>
    <row r="55" spans="4:11" x14ac:dyDescent="0.25">
      <c r="D55" s="306" t="s">
        <v>73</v>
      </c>
      <c r="E55" s="306"/>
      <c r="F55">
        <v>7830</v>
      </c>
    </row>
    <row r="56" spans="4:11" x14ac:dyDescent="0.25">
      <c r="D56" s="307" t="s">
        <v>161</v>
      </c>
      <c r="E56" s="307"/>
      <c r="F56" s="4">
        <v>26332.959660297245</v>
      </c>
    </row>
    <row r="57" spans="4:11" x14ac:dyDescent="0.25">
      <c r="D57" s="307" t="s">
        <v>74</v>
      </c>
      <c r="E57" s="307"/>
      <c r="F57">
        <v>6258910.5</v>
      </c>
    </row>
    <row r="58" spans="4:11" x14ac:dyDescent="0.25">
      <c r="D58" s="307" t="s">
        <v>61</v>
      </c>
      <c r="E58" s="307"/>
      <c r="F58">
        <v>21049251.304458603</v>
      </c>
    </row>
    <row r="59" spans="4:11" x14ac:dyDescent="0.25">
      <c r="D59" s="307" t="s">
        <v>62</v>
      </c>
      <c r="E59" s="307"/>
      <c r="F59">
        <v>2.3630855249421772</v>
      </c>
    </row>
    <row r="61" spans="4:11" ht="15.75" thickBot="1" x14ac:dyDescent="0.3"/>
    <row r="62" spans="4:11" ht="30" x14ac:dyDescent="0.25">
      <c r="D62" s="219"/>
      <c r="E62" s="212" t="s">
        <v>57</v>
      </c>
      <c r="F62" s="212" t="s">
        <v>58</v>
      </c>
      <c r="G62" s="212" t="s">
        <v>44</v>
      </c>
      <c r="H62" s="212" t="s">
        <v>64</v>
      </c>
      <c r="I62" s="212" t="s">
        <v>66</v>
      </c>
      <c r="J62" s="212" t="s">
        <v>65</v>
      </c>
      <c r="K62" s="213" t="s">
        <v>67</v>
      </c>
    </row>
    <row r="63" spans="4:11" x14ac:dyDescent="0.25">
      <c r="D63" s="221" t="s">
        <v>41</v>
      </c>
      <c r="E63" s="182">
        <v>0</v>
      </c>
      <c r="F63" s="182">
        <f>E63*F59</f>
        <v>0</v>
      </c>
      <c r="G63" s="182">
        <v>0.54</v>
      </c>
      <c r="H63" s="182">
        <f>F63*G63</f>
        <v>0</v>
      </c>
      <c r="I63" s="182">
        <f>F63-H63</f>
        <v>0</v>
      </c>
      <c r="J63" s="214">
        <v>11600000</v>
      </c>
      <c r="K63" s="215">
        <f>I63*J63</f>
        <v>0</v>
      </c>
    </row>
    <row r="64" spans="4:11" ht="45" x14ac:dyDescent="0.25">
      <c r="D64" s="221" t="s">
        <v>63</v>
      </c>
      <c r="E64" s="182">
        <v>0</v>
      </c>
      <c r="F64" s="182">
        <f>E64*F59</f>
        <v>0</v>
      </c>
      <c r="G64" s="182">
        <v>0.54</v>
      </c>
      <c r="H64" s="182">
        <f>G64*F64</f>
        <v>0</v>
      </c>
      <c r="I64" s="182">
        <f>F64-H64</f>
        <v>0</v>
      </c>
      <c r="J64" s="214">
        <v>554800</v>
      </c>
      <c r="K64" s="216">
        <f>I64*J64</f>
        <v>0</v>
      </c>
    </row>
    <row r="65" spans="4:11" x14ac:dyDescent="0.25">
      <c r="D65" s="221" t="s">
        <v>35</v>
      </c>
      <c r="E65" s="220">
        <f>2/6</f>
        <v>0.33333333333333331</v>
      </c>
      <c r="F65" s="182">
        <f>E65*F59</f>
        <v>0.78769517498072572</v>
      </c>
      <c r="G65" s="182">
        <v>0.54</v>
      </c>
      <c r="H65" s="182">
        <f>G65*F65</f>
        <v>0.42535539448959192</v>
      </c>
      <c r="I65" s="182">
        <f>F65-H65</f>
        <v>0.3623397804911338</v>
      </c>
      <c r="J65" s="214">
        <v>151100</v>
      </c>
      <c r="K65" s="216">
        <f>I65*J65</f>
        <v>54749.540832210318</v>
      </c>
    </row>
    <row r="66" spans="4:11" x14ac:dyDescent="0.25">
      <c r="D66" s="221" t="s">
        <v>36</v>
      </c>
      <c r="E66" s="182">
        <f>1/6</f>
        <v>0.16666666666666666</v>
      </c>
      <c r="F66" s="182">
        <f>E66*F59</f>
        <v>0.39384758749036286</v>
      </c>
      <c r="G66" s="182">
        <v>0.54</v>
      </c>
      <c r="H66" s="182">
        <f>F66*G66</f>
        <v>0.21267769724479596</v>
      </c>
      <c r="I66" s="182">
        <f>F66-H66</f>
        <v>0.1811698902455669</v>
      </c>
      <c r="J66" s="214">
        <v>4600</v>
      </c>
      <c r="K66" s="216">
        <f>I66*J66</f>
        <v>833.38149512960774</v>
      </c>
    </row>
    <row r="67" spans="4:11" ht="15.75" thickBot="1" x14ac:dyDescent="0.3">
      <c r="D67" s="222"/>
      <c r="E67" s="179"/>
      <c r="F67" s="179">
        <f>SUM(F63:F66)</f>
        <v>1.1815427624710886</v>
      </c>
      <c r="G67" s="179"/>
      <c r="H67" s="179">
        <f>SUM(H63:H66)</f>
        <v>0.63803309173438794</v>
      </c>
      <c r="I67" s="179">
        <f>SUM(I63:I66)</f>
        <v>0.54350967073670065</v>
      </c>
      <c r="J67" s="179"/>
      <c r="K67" s="217">
        <f>SUM(K63:K66)</f>
        <v>55582.922327339926</v>
      </c>
    </row>
    <row r="69" spans="4:11" x14ac:dyDescent="0.25">
      <c r="I69">
        <f>F67-H67</f>
        <v>0.54350967073670065</v>
      </c>
    </row>
    <row r="70" spans="4:11" x14ac:dyDescent="0.25">
      <c r="K70">
        <f>(H67/F67)-1</f>
        <v>-0.45999999999999996</v>
      </c>
    </row>
    <row r="72" spans="4:11" x14ac:dyDescent="0.25">
      <c r="K72">
        <f>1.181542762*0.46</f>
        <v>0.5435096705200001</v>
      </c>
    </row>
  </sheetData>
  <mergeCells count="18">
    <mergeCell ref="D55:E55"/>
    <mergeCell ref="D56:E56"/>
    <mergeCell ref="D57:E57"/>
    <mergeCell ref="D58:E58"/>
    <mergeCell ref="D59:E59"/>
    <mergeCell ref="D1:L1"/>
    <mergeCell ref="D54:G54"/>
    <mergeCell ref="J2:L2"/>
    <mergeCell ref="A2:C2"/>
    <mergeCell ref="D2:F2"/>
    <mergeCell ref="D38:G38"/>
    <mergeCell ref="G2:I2"/>
    <mergeCell ref="D39:E39"/>
    <mergeCell ref="D40:E40"/>
    <mergeCell ref="D41:E41"/>
    <mergeCell ref="D42:E42"/>
    <mergeCell ref="D43:E43"/>
    <mergeCell ref="D44:E4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B2C82-B120-439D-953F-0B7E01777792}">
  <sheetPr>
    <pageSetUpPr fitToPage="1"/>
  </sheetPr>
  <dimension ref="A1:M50"/>
  <sheetViews>
    <sheetView workbookViewId="0">
      <selection sqref="A1:H29"/>
    </sheetView>
  </sheetViews>
  <sheetFormatPr defaultRowHeight="15" x14ac:dyDescent="0.25"/>
  <cols>
    <col min="1" max="1" width="6.85546875" customWidth="1"/>
    <col min="2" max="2" width="18.85546875" bestFit="1" customWidth="1"/>
    <col min="3" max="3" width="11.5703125" bestFit="1" customWidth="1"/>
    <col min="4" max="4" width="12.28515625" customWidth="1"/>
    <col min="5" max="5" width="12.85546875" customWidth="1"/>
    <col min="6" max="6" width="14.42578125" customWidth="1"/>
    <col min="7" max="7" width="15.85546875" bestFit="1" customWidth="1"/>
    <col min="8" max="8" width="14.140625" bestFit="1" customWidth="1"/>
    <col min="10" max="10" width="25.5703125" bestFit="1" customWidth="1"/>
    <col min="12" max="12" width="9.28515625" bestFit="1" customWidth="1"/>
  </cols>
  <sheetData>
    <row r="1" spans="1:13" ht="15.75" x14ac:dyDescent="0.25">
      <c r="A1" s="312" t="s">
        <v>771</v>
      </c>
      <c r="B1" s="313"/>
      <c r="C1" s="313"/>
      <c r="D1" s="313"/>
      <c r="E1" s="313"/>
      <c r="F1" s="313"/>
      <c r="G1" s="314"/>
      <c r="H1" s="315"/>
      <c r="I1" s="61"/>
    </row>
    <row r="2" spans="1:13" ht="78.75" x14ac:dyDescent="0.25">
      <c r="A2" s="138"/>
      <c r="B2" s="139"/>
      <c r="C2" s="139" t="s">
        <v>588</v>
      </c>
      <c r="D2" s="139" t="s">
        <v>589</v>
      </c>
      <c r="E2" s="139" t="s">
        <v>648</v>
      </c>
      <c r="F2" s="139" t="s">
        <v>590</v>
      </c>
      <c r="G2" s="139" t="s">
        <v>591</v>
      </c>
      <c r="H2" s="140" t="s">
        <v>592</v>
      </c>
      <c r="I2" s="62"/>
    </row>
    <row r="3" spans="1:13" ht="15.75" x14ac:dyDescent="0.25">
      <c r="A3" s="141">
        <v>0</v>
      </c>
      <c r="B3" s="142">
        <v>2022</v>
      </c>
      <c r="C3" s="143">
        <v>0</v>
      </c>
      <c r="D3" s="143">
        <v>0</v>
      </c>
      <c r="E3" s="143">
        <v>0</v>
      </c>
      <c r="F3" s="96">
        <v>0</v>
      </c>
      <c r="G3" s="96"/>
      <c r="H3" s="72"/>
      <c r="I3" s="61"/>
    </row>
    <row r="4" spans="1:13" ht="15.75" x14ac:dyDescent="0.25">
      <c r="A4" s="141">
        <v>1</v>
      </c>
      <c r="B4" s="142">
        <v>2023</v>
      </c>
      <c r="C4" s="143">
        <v>0</v>
      </c>
      <c r="D4" s="143">
        <v>0</v>
      </c>
      <c r="E4" s="143">
        <v>0</v>
      </c>
      <c r="F4" s="96">
        <v>0</v>
      </c>
      <c r="G4" s="96"/>
      <c r="H4" s="72"/>
      <c r="I4" s="61"/>
    </row>
    <row r="5" spans="1:13" ht="15.75" x14ac:dyDescent="0.25">
      <c r="A5" s="141">
        <v>2</v>
      </c>
      <c r="B5" s="142" t="s">
        <v>595</v>
      </c>
      <c r="C5" s="143">
        <v>0</v>
      </c>
      <c r="D5" s="143">
        <v>0</v>
      </c>
      <c r="E5" s="143">
        <v>0</v>
      </c>
      <c r="F5" s="96">
        <v>0</v>
      </c>
      <c r="G5" s="96"/>
      <c r="H5" s="72"/>
      <c r="I5" s="61"/>
    </row>
    <row r="6" spans="1:13" ht="15.75" x14ac:dyDescent="0.25">
      <c r="A6" s="141">
        <v>3</v>
      </c>
      <c r="B6" s="142" t="s">
        <v>579</v>
      </c>
      <c r="C6" s="143">
        <v>0</v>
      </c>
      <c r="D6" s="143">
        <v>0</v>
      </c>
      <c r="E6" s="143">
        <v>0</v>
      </c>
      <c r="F6" s="96">
        <v>0</v>
      </c>
      <c r="G6" s="96"/>
      <c r="H6" s="72"/>
      <c r="I6" s="61"/>
    </row>
    <row r="7" spans="1:13" ht="15.75" x14ac:dyDescent="0.25">
      <c r="A7" s="141">
        <v>4</v>
      </c>
      <c r="B7" s="142" t="s">
        <v>580</v>
      </c>
      <c r="C7" s="143">
        <v>0</v>
      </c>
      <c r="D7" s="143">
        <v>0</v>
      </c>
      <c r="E7" s="143">
        <v>0</v>
      </c>
      <c r="F7" s="96">
        <v>0</v>
      </c>
      <c r="G7" s="96"/>
      <c r="H7" s="72"/>
      <c r="I7" s="61"/>
    </row>
    <row r="8" spans="1:13" ht="15.75" x14ac:dyDescent="0.25">
      <c r="A8" s="141">
        <v>5</v>
      </c>
      <c r="B8" s="142">
        <v>2027</v>
      </c>
      <c r="C8" s="144">
        <f>(100*(1+0.01^(2027-2022))*0.1*10*(4567.2/5280)*365)</f>
        <v>31572.500003157256</v>
      </c>
      <c r="D8" s="144">
        <f>(50*(1+0.01^(2027-2022))*0.1*10*(4567.2/5280)*365)</f>
        <v>15786.250001578628</v>
      </c>
      <c r="E8" s="144">
        <f>(50*(1+0.01^(2027-2022))*0.1*5*(7810.44/5280)*365)</f>
        <v>13498.156251349817</v>
      </c>
      <c r="F8" s="144">
        <f>(30*(1+0.01^(2027-2022))*0.1*5*(7408.86/5280)*365)</f>
        <v>7682.4826712227941</v>
      </c>
      <c r="G8" s="96">
        <f>C8+D8+E8+F8</f>
        <v>68539.388927308493</v>
      </c>
      <c r="H8" s="145">
        <f>G8/1.07</f>
        <v>64055.503670381768</v>
      </c>
      <c r="I8" s="63"/>
    </row>
    <row r="9" spans="1:13" ht="15.75" x14ac:dyDescent="0.25">
      <c r="A9" s="141">
        <v>6</v>
      </c>
      <c r="B9" s="142">
        <v>2028</v>
      </c>
      <c r="C9" s="144">
        <f>(100*(1+0.01^(B9-2022))*0.1*10*(4567.2/5280)*365)</f>
        <v>31572.500000031585</v>
      </c>
      <c r="D9" s="144">
        <f>(50*(1+0.01^(C9-2022))*0.1*10*(4567.2/5280)*365)</f>
        <v>15786.25</v>
      </c>
      <c r="E9" s="144">
        <f>(50*(1+0.01^(B9-2022))*0.1*5*(7810.44/5280)*365)</f>
        <v>13498.156250013502</v>
      </c>
      <c r="F9" s="144">
        <f>(30*(1+0.01^(B9-2022))*0.1*5*(7408.86/5280)*365)</f>
        <v>7682.4826704622283</v>
      </c>
      <c r="G9" s="96">
        <f t="shared" ref="G9:G22" si="0">C9+D9+E9+F9</f>
        <v>68539.388920507321</v>
      </c>
      <c r="H9" s="145">
        <f>G9/1.07^2</f>
        <v>59864.956695350964</v>
      </c>
      <c r="I9" s="63"/>
    </row>
    <row r="10" spans="1:13" ht="15.75" x14ac:dyDescent="0.25">
      <c r="A10" s="141">
        <v>7</v>
      </c>
      <c r="B10" s="142">
        <v>2029</v>
      </c>
      <c r="C10" s="144">
        <f>(100*(1+0.01^(B10-2022))*0.1*10*(4567.2/5280)*365)</f>
        <v>31572.500000000313</v>
      </c>
      <c r="D10" s="144">
        <f t="shared" ref="D10:D27" si="1">(50*(1+0.01^(C10-2022))*0.1*10*(4567.2/5280)*365)</f>
        <v>15786.25</v>
      </c>
      <c r="E10" s="144">
        <f t="shared" ref="E10:E22" si="2">(50*(1+0.01^(B10-2022))*0.1*5*(7810.44/5280)*365)</f>
        <v>13498.156250000133</v>
      </c>
      <c r="F10" s="144">
        <f t="shared" ref="F10:F22" si="3">(30*(1+0.01^(B10-2022))*0.1*5*(7408.86/5280)*365)</f>
        <v>7682.4826704546231</v>
      </c>
      <c r="G10" s="96">
        <f t="shared" si="0"/>
        <v>68539.388920455065</v>
      </c>
      <c r="H10" s="145">
        <f>G10/1.07^3</f>
        <v>55948.557659163846</v>
      </c>
      <c r="I10" s="63"/>
    </row>
    <row r="11" spans="1:13" ht="15.75" x14ac:dyDescent="0.25">
      <c r="A11" s="141">
        <v>8</v>
      </c>
      <c r="B11" s="142">
        <v>2030</v>
      </c>
      <c r="C11" s="144">
        <f t="shared" ref="C11:C22" si="4">(100*(1+0.01^(B11-2022))*0.1*10*(4567.2/5280)*365)</f>
        <v>31572.5</v>
      </c>
      <c r="D11" s="144">
        <f t="shared" si="1"/>
        <v>15786.25</v>
      </c>
      <c r="E11" s="144">
        <f t="shared" si="2"/>
        <v>13498.156249999998</v>
      </c>
      <c r="F11" s="144">
        <f t="shared" si="3"/>
        <v>7682.4826704545449</v>
      </c>
      <c r="G11" s="96">
        <f t="shared" si="0"/>
        <v>68539.388920454541</v>
      </c>
      <c r="H11" s="145">
        <f>G11/1.07^4</f>
        <v>52288.371644077968</v>
      </c>
      <c r="I11" s="63"/>
      <c r="M11" s="3"/>
    </row>
    <row r="12" spans="1:13" ht="15.75" x14ac:dyDescent="0.25">
      <c r="A12" s="141">
        <v>9</v>
      </c>
      <c r="B12" s="142">
        <v>2031</v>
      </c>
      <c r="C12" s="144">
        <f t="shared" si="4"/>
        <v>31572.5</v>
      </c>
      <c r="D12" s="144">
        <f t="shared" si="1"/>
        <v>15786.25</v>
      </c>
      <c r="E12" s="144">
        <f t="shared" si="2"/>
        <v>13498.156249999998</v>
      </c>
      <c r="F12" s="144">
        <f t="shared" si="3"/>
        <v>7682.4826704545449</v>
      </c>
      <c r="G12" s="96">
        <f t="shared" si="0"/>
        <v>68539.388920454541</v>
      </c>
      <c r="H12" s="145">
        <f>G12/1.07^5</f>
        <v>48867.63705054015</v>
      </c>
      <c r="I12" s="63"/>
    </row>
    <row r="13" spans="1:13" ht="15.75" x14ac:dyDescent="0.25">
      <c r="A13" s="141">
        <v>10</v>
      </c>
      <c r="B13" s="142">
        <v>2032</v>
      </c>
      <c r="C13" s="144">
        <f t="shared" si="4"/>
        <v>31572.5</v>
      </c>
      <c r="D13" s="144">
        <f t="shared" si="1"/>
        <v>15786.25</v>
      </c>
      <c r="E13" s="144">
        <f t="shared" si="2"/>
        <v>13498.156249999998</v>
      </c>
      <c r="F13" s="144">
        <f t="shared" si="3"/>
        <v>7682.4826704545449</v>
      </c>
      <c r="G13" s="96">
        <f t="shared" si="0"/>
        <v>68539.388920454541</v>
      </c>
      <c r="H13" s="145">
        <f>G13/1.07^6</f>
        <v>45670.688832280517</v>
      </c>
      <c r="I13" s="63"/>
    </row>
    <row r="14" spans="1:13" ht="15.75" x14ac:dyDescent="0.25">
      <c r="A14" s="141">
        <v>11</v>
      </c>
      <c r="B14" s="142">
        <v>2033</v>
      </c>
      <c r="C14" s="144">
        <f t="shared" si="4"/>
        <v>31572.5</v>
      </c>
      <c r="D14" s="144">
        <f t="shared" si="1"/>
        <v>15786.25</v>
      </c>
      <c r="E14" s="144">
        <f t="shared" si="2"/>
        <v>13498.156249999998</v>
      </c>
      <c r="F14" s="144">
        <f t="shared" si="3"/>
        <v>7682.4826704545449</v>
      </c>
      <c r="G14" s="96">
        <f t="shared" si="0"/>
        <v>68539.388920454541</v>
      </c>
      <c r="H14" s="145">
        <f>G14/1.07^7</f>
        <v>42682.886759140667</v>
      </c>
      <c r="I14" s="63"/>
    </row>
    <row r="15" spans="1:13" ht="15.75" x14ac:dyDescent="0.25">
      <c r="A15" s="141">
        <v>12</v>
      </c>
      <c r="B15" s="142">
        <v>2034</v>
      </c>
      <c r="C15" s="144">
        <f t="shared" si="4"/>
        <v>31572.5</v>
      </c>
      <c r="D15" s="144">
        <f t="shared" si="1"/>
        <v>15786.25</v>
      </c>
      <c r="E15" s="144">
        <f t="shared" si="2"/>
        <v>13498.156249999998</v>
      </c>
      <c r="F15" s="144">
        <f t="shared" si="3"/>
        <v>7682.4826704545449</v>
      </c>
      <c r="G15" s="96">
        <f t="shared" si="0"/>
        <v>68539.388920454541</v>
      </c>
      <c r="H15" s="145">
        <f>G15/1.07^8</f>
        <v>39890.548373028665</v>
      </c>
      <c r="I15" s="63"/>
    </row>
    <row r="16" spans="1:13" ht="15.75" x14ac:dyDescent="0.25">
      <c r="A16" s="141">
        <v>13</v>
      </c>
      <c r="B16" s="142">
        <v>2035</v>
      </c>
      <c r="C16" s="144">
        <f t="shared" si="4"/>
        <v>31572.5</v>
      </c>
      <c r="D16" s="144">
        <f t="shared" si="1"/>
        <v>15786.25</v>
      </c>
      <c r="E16" s="144">
        <f t="shared" si="2"/>
        <v>13498.156249999998</v>
      </c>
      <c r="F16" s="144">
        <f t="shared" si="3"/>
        <v>7682.4826704545449</v>
      </c>
      <c r="G16" s="96">
        <f t="shared" si="0"/>
        <v>68539.388920454541</v>
      </c>
      <c r="H16" s="145">
        <f>G16/1.07^9</f>
        <v>37280.886329933324</v>
      </c>
      <c r="I16" s="63"/>
    </row>
    <row r="17" spans="1:12" ht="15.75" x14ac:dyDescent="0.25">
      <c r="A17" s="141">
        <v>14</v>
      </c>
      <c r="B17" s="142">
        <v>2036</v>
      </c>
      <c r="C17" s="144">
        <f t="shared" si="4"/>
        <v>31572.5</v>
      </c>
      <c r="D17" s="144">
        <f t="shared" si="1"/>
        <v>15786.25</v>
      </c>
      <c r="E17" s="144">
        <f t="shared" si="2"/>
        <v>13498.156249999998</v>
      </c>
      <c r="F17" s="144">
        <f t="shared" si="3"/>
        <v>7682.4826704545449</v>
      </c>
      <c r="G17" s="96">
        <f t="shared" si="0"/>
        <v>68539.388920454541</v>
      </c>
      <c r="H17" s="145">
        <f>G17/1.07^10</f>
        <v>34841.949841059184</v>
      </c>
      <c r="I17" s="63"/>
    </row>
    <row r="18" spans="1:12" ht="15.75" x14ac:dyDescent="0.25">
      <c r="A18" s="141">
        <v>15</v>
      </c>
      <c r="B18" s="142">
        <v>2037</v>
      </c>
      <c r="C18" s="144">
        <f t="shared" si="4"/>
        <v>31572.5</v>
      </c>
      <c r="D18" s="144">
        <f t="shared" si="1"/>
        <v>15786.25</v>
      </c>
      <c r="E18" s="144">
        <f t="shared" si="2"/>
        <v>13498.156249999998</v>
      </c>
      <c r="F18" s="144">
        <f t="shared" si="3"/>
        <v>7682.4826704545449</v>
      </c>
      <c r="G18" s="96">
        <f t="shared" si="0"/>
        <v>68539.388920454541</v>
      </c>
      <c r="H18" s="145">
        <f>G18/1.07^11</f>
        <v>32562.569944915122</v>
      </c>
      <c r="I18" s="63"/>
    </row>
    <row r="19" spans="1:12" ht="15.75" x14ac:dyDescent="0.25">
      <c r="A19" s="141">
        <v>16</v>
      </c>
      <c r="B19" s="142">
        <v>2038</v>
      </c>
      <c r="C19" s="144">
        <f t="shared" si="4"/>
        <v>31572.5</v>
      </c>
      <c r="D19" s="144">
        <f t="shared" si="1"/>
        <v>15786.25</v>
      </c>
      <c r="E19" s="144">
        <f t="shared" si="2"/>
        <v>13498.156249999998</v>
      </c>
      <c r="F19" s="144">
        <f t="shared" si="3"/>
        <v>7682.4826704545449</v>
      </c>
      <c r="G19" s="96">
        <f t="shared" si="0"/>
        <v>68539.388920454541</v>
      </c>
      <c r="H19" s="145">
        <f>G19/1.07^12</f>
        <v>30432.308359733765</v>
      </c>
      <c r="I19" s="63"/>
    </row>
    <row r="20" spans="1:12" ht="15.75" x14ac:dyDescent="0.25">
      <c r="A20" s="141">
        <v>17</v>
      </c>
      <c r="B20" s="142">
        <v>2039</v>
      </c>
      <c r="C20" s="144">
        <f t="shared" si="4"/>
        <v>31572.5</v>
      </c>
      <c r="D20" s="144">
        <f t="shared" si="1"/>
        <v>15786.25</v>
      </c>
      <c r="E20" s="144">
        <f t="shared" si="2"/>
        <v>13498.156249999998</v>
      </c>
      <c r="F20" s="144">
        <f t="shared" si="3"/>
        <v>7682.4826704545449</v>
      </c>
      <c r="G20" s="96">
        <f t="shared" si="0"/>
        <v>68539.388920454541</v>
      </c>
      <c r="H20" s="145">
        <f>G20/1.07^13</f>
        <v>28441.40968199417</v>
      </c>
      <c r="I20" s="63"/>
    </row>
    <row r="21" spans="1:12" ht="15.75" x14ac:dyDescent="0.25">
      <c r="A21" s="141">
        <v>18</v>
      </c>
      <c r="B21" s="142">
        <v>2040</v>
      </c>
      <c r="C21" s="144">
        <f t="shared" si="4"/>
        <v>31572.5</v>
      </c>
      <c r="D21" s="144">
        <f t="shared" si="1"/>
        <v>15786.25</v>
      </c>
      <c r="E21" s="144">
        <f t="shared" si="2"/>
        <v>13498.156249999998</v>
      </c>
      <c r="F21" s="144">
        <f t="shared" si="3"/>
        <v>7682.4826704545449</v>
      </c>
      <c r="G21" s="96">
        <f t="shared" si="0"/>
        <v>68539.388920454541</v>
      </c>
      <c r="H21" s="145">
        <f>G21/1.07^14</f>
        <v>26580.756712144088</v>
      </c>
      <c r="I21" s="63"/>
    </row>
    <row r="22" spans="1:12" ht="15.75" x14ac:dyDescent="0.25">
      <c r="A22" s="141">
        <v>19</v>
      </c>
      <c r="B22" s="142">
        <v>2041</v>
      </c>
      <c r="C22" s="144">
        <f t="shared" si="4"/>
        <v>31572.5</v>
      </c>
      <c r="D22" s="144">
        <f t="shared" si="1"/>
        <v>15786.25</v>
      </c>
      <c r="E22" s="144">
        <f t="shared" si="2"/>
        <v>13498.156249999998</v>
      </c>
      <c r="F22" s="144">
        <f t="shared" si="3"/>
        <v>7682.4826704545449</v>
      </c>
      <c r="G22" s="96">
        <f t="shared" si="0"/>
        <v>68539.388920454541</v>
      </c>
      <c r="H22" s="145">
        <f>G22/1.07^15</f>
        <v>24841.828702938394</v>
      </c>
      <c r="I22" s="63"/>
    </row>
    <row r="23" spans="1:12" ht="15.75" x14ac:dyDescent="0.25">
      <c r="A23" s="141">
        <v>20</v>
      </c>
      <c r="B23" s="142">
        <v>2042</v>
      </c>
      <c r="C23" s="144">
        <f>(100*(1+0.01^(B23-2022))*0.1*10*(4567.2/5280)*365)</f>
        <v>31572.5</v>
      </c>
      <c r="D23" s="144">
        <f t="shared" si="1"/>
        <v>15786.25</v>
      </c>
      <c r="E23" s="144">
        <f>(50*(1+0.01^(B23-2022))*0.1*5*(7810.44/5280)*365)</f>
        <v>13498.156249999998</v>
      </c>
      <c r="F23" s="144">
        <f>(30*(1+0.01^(B23-2022))*0.1*5*(7408.86/5280)*365)</f>
        <v>7682.4826704545449</v>
      </c>
      <c r="G23" s="96">
        <f>C23+D23+E23+F23</f>
        <v>68539.388920454541</v>
      </c>
      <c r="H23" s="145">
        <f>G23/1.07^16</f>
        <v>23216.662339194765</v>
      </c>
      <c r="I23" s="63"/>
      <c r="J23" s="61"/>
      <c r="K23" s="61"/>
      <c r="L23" s="61"/>
    </row>
    <row r="24" spans="1:12" ht="15.75" x14ac:dyDescent="0.25">
      <c r="A24" s="141">
        <v>21</v>
      </c>
      <c r="B24" s="142">
        <v>2043</v>
      </c>
      <c r="C24" s="144">
        <f>(100*(1+0.01^(B24-2022))*0.1*10*(4567.2/5280)*365)</f>
        <v>31572.5</v>
      </c>
      <c r="D24" s="144">
        <f t="shared" si="1"/>
        <v>15786.25</v>
      </c>
      <c r="E24" s="144">
        <f>(50*(1+0.01^(B24-2022))*0.1*5*(7810.44/5280)*365)</f>
        <v>13498.156249999998</v>
      </c>
      <c r="F24" s="144">
        <f>(30*(1+0.01^(B24-2022))*0.1*5*(7408.86/5280)*365)</f>
        <v>7682.4826704545449</v>
      </c>
      <c r="G24" s="96">
        <f>C24+D24+E24+F24</f>
        <v>68539.388920454541</v>
      </c>
      <c r="H24" s="145">
        <f>G24/1.07^17</f>
        <v>21697.815270275481</v>
      </c>
      <c r="I24" s="63"/>
      <c r="J24" s="61"/>
      <c r="K24" s="61"/>
      <c r="L24" s="61"/>
    </row>
    <row r="25" spans="1:12" ht="15.75" x14ac:dyDescent="0.25">
      <c r="A25" s="141">
        <v>22</v>
      </c>
      <c r="B25" s="142">
        <v>2044</v>
      </c>
      <c r="C25" s="146">
        <f>(100*(1+0.01^(B25-2022))*0.1*10*(4567.2/5280)*365)</f>
        <v>31572.5</v>
      </c>
      <c r="D25" s="144">
        <f t="shared" si="1"/>
        <v>15786.25</v>
      </c>
      <c r="E25" s="146">
        <f>(50*(1+0.01^(B25-2022))*0.1*5*(7810.44/5280)*365)</f>
        <v>13498.156249999998</v>
      </c>
      <c r="F25" s="146">
        <f>(30*(1+0.01^(B25-2022))*0.1*5*(7408.86/5280)*365)</f>
        <v>7682.4826704545449</v>
      </c>
      <c r="G25" s="96">
        <f>C25+D25+E25+F25</f>
        <v>68539.388920454541</v>
      </c>
      <c r="H25" s="145">
        <f>G25/1.07^18</f>
        <v>20278.332028294841</v>
      </c>
      <c r="I25" s="63"/>
      <c r="J25" s="61"/>
      <c r="K25" s="61"/>
      <c r="L25" s="61"/>
    </row>
    <row r="26" spans="1:12" ht="15.75" x14ac:dyDescent="0.25">
      <c r="A26" s="141">
        <v>23</v>
      </c>
      <c r="B26" s="142">
        <v>2045</v>
      </c>
      <c r="C26" s="146">
        <f>(100*(1+0.01^(B26-2022))*0.1*10*(4567.2/5280)*365)</f>
        <v>31572.5</v>
      </c>
      <c r="D26" s="144">
        <f t="shared" si="1"/>
        <v>15786.25</v>
      </c>
      <c r="E26" s="146">
        <f>(50*(1+0.01^(B26-2022))*0.1*5*(7810.44/5280)*365)</f>
        <v>13498.156249999998</v>
      </c>
      <c r="F26" s="146">
        <f>(30*(1+0.01^(B26-2022))*0.1*5*(7408.86/5280)*365)</f>
        <v>7682.4826704545449</v>
      </c>
      <c r="G26" s="96">
        <f>C26+D26+E26+F26</f>
        <v>68539.388920454541</v>
      </c>
      <c r="H26" s="145">
        <f>G26/1.07^19</f>
        <v>18951.712175976485</v>
      </c>
      <c r="I26" s="63"/>
      <c r="J26" s="61"/>
      <c r="K26" s="61"/>
      <c r="L26" s="61"/>
    </row>
    <row r="27" spans="1:12" ht="16.5" thickBot="1" x14ac:dyDescent="0.3">
      <c r="A27" s="141">
        <v>24</v>
      </c>
      <c r="B27" s="142">
        <v>2046</v>
      </c>
      <c r="C27" s="146">
        <f>(100*(1+0.01^(B27-2022))*0.1*10*(4567.2/5280)*365)</f>
        <v>31572.5</v>
      </c>
      <c r="D27" s="144">
        <f t="shared" si="1"/>
        <v>15786.25</v>
      </c>
      <c r="E27" s="146">
        <f>(50*(1+0.01^(B27-2022))*0.1*5*(7810.44/5280)*365)</f>
        <v>13498.156249999998</v>
      </c>
      <c r="F27" s="146">
        <f>(30*(1+0.01^(B27-2022))*0.1*5*(7408.86/5280)*365)</f>
        <v>7682.4826704545449</v>
      </c>
      <c r="G27" s="96">
        <f>C27+D27+E27+F27</f>
        <v>68539.388920454541</v>
      </c>
      <c r="H27" s="145">
        <f>G27/1.07^20</f>
        <v>17711.880538295783</v>
      </c>
      <c r="I27" s="63"/>
      <c r="J27" s="61"/>
      <c r="K27" s="61"/>
      <c r="L27" s="61"/>
    </row>
    <row r="28" spans="1:12" ht="16.5" thickBot="1" x14ac:dyDescent="0.3">
      <c r="A28" s="308" t="s">
        <v>604</v>
      </c>
      <c r="B28" s="309"/>
      <c r="C28" s="309"/>
      <c r="D28" s="309"/>
      <c r="E28" s="309"/>
      <c r="F28" s="147"/>
      <c r="G28" s="148">
        <f>SUM(G8:G27)</f>
        <v>1370787.778415998</v>
      </c>
      <c r="H28" s="149"/>
      <c r="I28" s="61"/>
      <c r="J28" s="61"/>
      <c r="K28" s="61"/>
      <c r="L28" s="61"/>
    </row>
    <row r="29" spans="1:12" ht="16.5" thickBot="1" x14ac:dyDescent="0.3">
      <c r="A29" s="310" t="s">
        <v>582</v>
      </c>
      <c r="B29" s="311"/>
      <c r="C29" s="311"/>
      <c r="D29" s="311"/>
      <c r="E29" s="311"/>
      <c r="F29" s="150"/>
      <c r="G29" s="150"/>
      <c r="H29" s="151">
        <f>SUM(H8:H28)</f>
        <v>726107.26260871987</v>
      </c>
      <c r="I29" s="63"/>
      <c r="J29" s="64"/>
      <c r="K29" s="61"/>
      <c r="L29" s="61"/>
    </row>
    <row r="30" spans="1:12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</row>
    <row r="31" spans="1:12" ht="15.75" x14ac:dyDescent="0.25">
      <c r="A31" s="152" t="s">
        <v>593</v>
      </c>
      <c r="B31" s="68"/>
      <c r="C31" s="61"/>
    </row>
    <row r="32" spans="1:12" ht="15.75" x14ac:dyDescent="0.25">
      <c r="A32" s="68" t="s">
        <v>594</v>
      </c>
      <c r="B32" s="101" t="s">
        <v>628</v>
      </c>
      <c r="C32" s="61"/>
    </row>
    <row r="33" spans="1:4" ht="15.75" x14ac:dyDescent="0.25">
      <c r="A33" s="68" t="s">
        <v>596</v>
      </c>
      <c r="B33" s="101" t="s">
        <v>629</v>
      </c>
      <c r="C33" s="61"/>
    </row>
    <row r="34" spans="1:4" ht="15.75" x14ac:dyDescent="0.25">
      <c r="A34" s="153" t="s">
        <v>586</v>
      </c>
      <c r="B34" s="101">
        <v>100</v>
      </c>
      <c r="C34" s="61"/>
    </row>
    <row r="35" spans="1:4" ht="15.75" x14ac:dyDescent="0.25">
      <c r="A35" s="68"/>
      <c r="B35" s="101"/>
      <c r="C35" s="61"/>
    </row>
    <row r="36" spans="1:4" ht="15.75" x14ac:dyDescent="0.25">
      <c r="A36" s="152" t="s">
        <v>597</v>
      </c>
      <c r="B36" s="101"/>
      <c r="C36" s="61"/>
    </row>
    <row r="37" spans="1:4" ht="15.75" x14ac:dyDescent="0.25">
      <c r="A37" s="68" t="s">
        <v>598</v>
      </c>
      <c r="B37" s="101" t="s">
        <v>630</v>
      </c>
      <c r="C37" s="61"/>
    </row>
    <row r="38" spans="1:4" ht="15.75" x14ac:dyDescent="0.25">
      <c r="A38" s="68" t="s">
        <v>599</v>
      </c>
      <c r="B38" s="101" t="s">
        <v>630</v>
      </c>
      <c r="C38" s="61"/>
    </row>
    <row r="39" spans="1:4" ht="15.75" x14ac:dyDescent="0.25">
      <c r="A39" s="68" t="s">
        <v>596</v>
      </c>
      <c r="B39" s="101" t="s">
        <v>629</v>
      </c>
      <c r="C39" s="61">
        <f>4567.2/5280</f>
        <v>0.86499999999999999</v>
      </c>
      <c r="D39" t="s">
        <v>748</v>
      </c>
    </row>
    <row r="40" spans="1:4" ht="15.75" x14ac:dyDescent="0.25">
      <c r="A40" s="68" t="s">
        <v>586</v>
      </c>
      <c r="B40" s="101">
        <v>50</v>
      </c>
      <c r="C40" s="61"/>
    </row>
    <row r="41" spans="1:4" ht="15.75" x14ac:dyDescent="0.25">
      <c r="A41" s="68"/>
      <c r="B41" s="68"/>
      <c r="C41" s="61"/>
    </row>
    <row r="42" spans="1:4" ht="15.75" x14ac:dyDescent="0.25">
      <c r="A42" s="154" t="s">
        <v>600</v>
      </c>
      <c r="B42" s="68"/>
      <c r="C42" s="61"/>
    </row>
    <row r="43" spans="1:4" ht="15.75" x14ac:dyDescent="0.25">
      <c r="A43" s="68" t="s">
        <v>601</v>
      </c>
      <c r="B43" s="101" t="s">
        <v>630</v>
      </c>
      <c r="C43" s="61"/>
    </row>
    <row r="44" spans="1:4" ht="15.75" x14ac:dyDescent="0.25">
      <c r="A44" s="68" t="s">
        <v>596</v>
      </c>
      <c r="B44" s="101" t="s">
        <v>631</v>
      </c>
      <c r="C44" s="61">
        <f>7810.44/5280</f>
        <v>1.47925</v>
      </c>
      <c r="D44" t="s">
        <v>748</v>
      </c>
    </row>
    <row r="45" spans="1:4" ht="15.75" x14ac:dyDescent="0.25">
      <c r="A45" s="68" t="s">
        <v>586</v>
      </c>
      <c r="B45" s="101">
        <v>50</v>
      </c>
      <c r="C45" s="61"/>
    </row>
    <row r="46" spans="1:4" ht="15.75" x14ac:dyDescent="0.25">
      <c r="A46" s="68"/>
      <c r="B46" s="68"/>
      <c r="C46" s="61"/>
    </row>
    <row r="47" spans="1:4" ht="15.75" x14ac:dyDescent="0.25">
      <c r="A47" s="154" t="s">
        <v>602</v>
      </c>
      <c r="B47" s="68"/>
      <c r="C47" s="61"/>
    </row>
    <row r="48" spans="1:4" ht="15.75" x14ac:dyDescent="0.25">
      <c r="A48" s="68" t="s">
        <v>601</v>
      </c>
      <c r="B48" s="101" t="s">
        <v>630</v>
      </c>
      <c r="C48" s="61"/>
    </row>
    <row r="49" spans="1:4" ht="15.75" x14ac:dyDescent="0.25">
      <c r="A49" s="68" t="s">
        <v>596</v>
      </c>
      <c r="B49" s="101" t="s">
        <v>632</v>
      </c>
      <c r="C49" s="61">
        <f>7408.86/5280</f>
        <v>1.4031931818181818</v>
      </c>
      <c r="D49" t="s">
        <v>748</v>
      </c>
    </row>
    <row r="50" spans="1:4" ht="15.75" x14ac:dyDescent="0.25">
      <c r="A50" s="68" t="s">
        <v>603</v>
      </c>
      <c r="B50" s="101">
        <v>35</v>
      </c>
      <c r="C50" s="61"/>
    </row>
  </sheetData>
  <mergeCells count="3">
    <mergeCell ref="A28:E28"/>
    <mergeCell ref="A29:E29"/>
    <mergeCell ref="A1:H1"/>
  </mergeCells>
  <pageMargins left="0.7" right="0.7" top="0.75" bottom="0.75" header="0.3" footer="0.3"/>
  <pageSetup scale="8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59ADC-6AE5-4AEA-83BF-7F2B65AF89D9}">
  <dimension ref="A1:K37"/>
  <sheetViews>
    <sheetView workbookViewId="0">
      <selection sqref="A1:H29"/>
    </sheetView>
  </sheetViews>
  <sheetFormatPr defaultRowHeight="15" x14ac:dyDescent="0.25"/>
  <cols>
    <col min="1" max="1" width="6.28515625" customWidth="1"/>
    <col min="2" max="2" width="19.28515625" customWidth="1"/>
    <col min="3" max="3" width="11.42578125" bestFit="1" customWidth="1"/>
    <col min="4" max="4" width="13.140625" customWidth="1"/>
    <col min="5" max="5" width="13.42578125" customWidth="1"/>
    <col min="6" max="6" width="12.140625" customWidth="1"/>
    <col min="7" max="8" width="12.5703125" bestFit="1" customWidth="1"/>
    <col min="11" max="11" width="34.85546875" customWidth="1"/>
    <col min="12" max="12" width="21.140625" bestFit="1" customWidth="1"/>
  </cols>
  <sheetData>
    <row r="1" spans="1:8" ht="15.75" x14ac:dyDescent="0.25">
      <c r="A1" s="312" t="s">
        <v>772</v>
      </c>
      <c r="B1" s="313"/>
      <c r="C1" s="313"/>
      <c r="D1" s="313"/>
      <c r="E1" s="313"/>
      <c r="F1" s="313"/>
      <c r="G1" s="314"/>
      <c r="H1" s="315"/>
    </row>
    <row r="2" spans="1:8" ht="78.75" x14ac:dyDescent="0.25">
      <c r="A2" s="138"/>
      <c r="B2" s="139"/>
      <c r="C2" s="139" t="s">
        <v>588</v>
      </c>
      <c r="D2" s="139" t="s">
        <v>589</v>
      </c>
      <c r="E2" s="139" t="s">
        <v>648</v>
      </c>
      <c r="F2" s="139" t="s">
        <v>590</v>
      </c>
      <c r="G2" s="139" t="s">
        <v>591</v>
      </c>
      <c r="H2" s="140" t="s">
        <v>592</v>
      </c>
    </row>
    <row r="3" spans="1:8" ht="15.75" x14ac:dyDescent="0.25">
      <c r="A3" s="141">
        <v>0</v>
      </c>
      <c r="B3" s="142">
        <v>2022</v>
      </c>
      <c r="C3" s="143">
        <v>0</v>
      </c>
      <c r="D3" s="143">
        <v>0</v>
      </c>
      <c r="E3" s="143">
        <v>0</v>
      </c>
      <c r="F3" s="96">
        <v>0</v>
      </c>
      <c r="G3" s="96"/>
      <c r="H3" s="72"/>
    </row>
    <row r="4" spans="1:8" ht="15.75" x14ac:dyDescent="0.25">
      <c r="A4" s="141">
        <v>1</v>
      </c>
      <c r="B4" s="142">
        <v>2023</v>
      </c>
      <c r="C4" s="143">
        <v>0</v>
      </c>
      <c r="D4" s="143">
        <v>0</v>
      </c>
      <c r="E4" s="143">
        <v>0</v>
      </c>
      <c r="F4" s="96">
        <v>0</v>
      </c>
      <c r="G4" s="96"/>
      <c r="H4" s="72"/>
    </row>
    <row r="5" spans="1:8" ht="15.75" x14ac:dyDescent="0.25">
      <c r="A5" s="141">
        <v>2</v>
      </c>
      <c r="B5" s="142" t="s">
        <v>595</v>
      </c>
      <c r="C5" s="143">
        <v>0</v>
      </c>
      <c r="D5" s="143">
        <v>0</v>
      </c>
      <c r="E5" s="143">
        <v>0</v>
      </c>
      <c r="F5" s="96">
        <v>0</v>
      </c>
      <c r="G5" s="96"/>
      <c r="H5" s="72"/>
    </row>
    <row r="6" spans="1:8" ht="15.75" x14ac:dyDescent="0.25">
      <c r="A6" s="141">
        <v>3</v>
      </c>
      <c r="B6" s="142" t="s">
        <v>579</v>
      </c>
      <c r="C6" s="143">
        <v>0</v>
      </c>
      <c r="D6" s="143">
        <v>0</v>
      </c>
      <c r="E6" s="143">
        <v>0</v>
      </c>
      <c r="F6" s="96">
        <v>0</v>
      </c>
      <c r="G6" s="96"/>
      <c r="H6" s="72"/>
    </row>
    <row r="7" spans="1:8" ht="15.75" x14ac:dyDescent="0.25">
      <c r="A7" s="141">
        <v>4</v>
      </c>
      <c r="B7" s="142" t="s">
        <v>580</v>
      </c>
      <c r="C7" s="143">
        <v>0</v>
      </c>
      <c r="D7" s="143">
        <v>0</v>
      </c>
      <c r="E7" s="143">
        <v>0</v>
      </c>
      <c r="F7" s="96">
        <v>0</v>
      </c>
      <c r="G7" s="96"/>
      <c r="H7" s="72"/>
    </row>
    <row r="8" spans="1:8" ht="15.75" x14ac:dyDescent="0.25">
      <c r="A8" s="141">
        <v>5</v>
      </c>
      <c r="B8" s="142">
        <v>2027</v>
      </c>
      <c r="C8" s="144">
        <f>E34*F34</f>
        <v>371.77080000000001</v>
      </c>
      <c r="D8" s="144">
        <v>185.89</v>
      </c>
      <c r="E8" s="144">
        <v>185.89</v>
      </c>
      <c r="F8" s="144">
        <v>130.12</v>
      </c>
      <c r="G8" s="96">
        <f>C8+D8+E8+F8</f>
        <v>873.67079999999999</v>
      </c>
      <c r="H8" s="145">
        <f>G8/1.07</f>
        <v>816.51476635514018</v>
      </c>
    </row>
    <row r="9" spans="1:8" ht="15.75" x14ac:dyDescent="0.25">
      <c r="A9" s="141">
        <v>6</v>
      </c>
      <c r="B9" s="142">
        <v>2028</v>
      </c>
      <c r="C9" s="144">
        <v>371.77</v>
      </c>
      <c r="D9" s="144">
        <v>185.89</v>
      </c>
      <c r="E9" s="144">
        <v>185.89</v>
      </c>
      <c r="F9" s="144">
        <v>130.12</v>
      </c>
      <c r="G9" s="96">
        <f t="shared" ref="G9:G22" si="0">C9+D9+E9+F9</f>
        <v>873.67</v>
      </c>
      <c r="H9" s="145">
        <f>G9/1.07^2</f>
        <v>763.0972137304567</v>
      </c>
    </row>
    <row r="10" spans="1:8" ht="15.75" x14ac:dyDescent="0.25">
      <c r="A10" s="141">
        <v>7</v>
      </c>
      <c r="B10" s="142">
        <v>2029</v>
      </c>
      <c r="C10" s="144">
        <v>371.77</v>
      </c>
      <c r="D10" s="144">
        <v>185.89</v>
      </c>
      <c r="E10" s="144">
        <v>185.89</v>
      </c>
      <c r="F10" s="144">
        <v>130.12</v>
      </c>
      <c r="G10" s="96">
        <f t="shared" si="0"/>
        <v>873.67</v>
      </c>
      <c r="H10" s="145">
        <f>G10/1.07^3</f>
        <v>713.17496610323053</v>
      </c>
    </row>
    <row r="11" spans="1:8" ht="15.75" x14ac:dyDescent="0.25">
      <c r="A11" s="141">
        <v>8</v>
      </c>
      <c r="B11" s="142">
        <v>2030</v>
      </c>
      <c r="C11" s="144">
        <v>371.77</v>
      </c>
      <c r="D11" s="144">
        <v>185.89</v>
      </c>
      <c r="E11" s="144">
        <v>185.89</v>
      </c>
      <c r="F11" s="144">
        <v>130.12</v>
      </c>
      <c r="G11" s="96">
        <f t="shared" si="0"/>
        <v>873.67</v>
      </c>
      <c r="H11" s="145">
        <f>G11/1.07^4</f>
        <v>666.51865990956128</v>
      </c>
    </row>
    <row r="12" spans="1:8" ht="15.75" x14ac:dyDescent="0.25">
      <c r="A12" s="141">
        <v>9</v>
      </c>
      <c r="B12" s="142">
        <v>2031</v>
      </c>
      <c r="C12" s="144">
        <v>371.77</v>
      </c>
      <c r="D12" s="144">
        <v>185.89</v>
      </c>
      <c r="E12" s="144">
        <v>185.89</v>
      </c>
      <c r="F12" s="144">
        <v>130.12</v>
      </c>
      <c r="G12" s="96">
        <f t="shared" si="0"/>
        <v>873.67</v>
      </c>
      <c r="H12" s="145">
        <f>G12/1.07^5</f>
        <v>622.91463542949646</v>
      </c>
    </row>
    <row r="13" spans="1:8" ht="15.75" x14ac:dyDescent="0.25">
      <c r="A13" s="141">
        <v>10</v>
      </c>
      <c r="B13" s="142">
        <v>2032</v>
      </c>
      <c r="C13" s="144">
        <v>371.77</v>
      </c>
      <c r="D13" s="144">
        <v>185.89</v>
      </c>
      <c r="E13" s="144">
        <v>185.89</v>
      </c>
      <c r="F13" s="144">
        <v>130.12</v>
      </c>
      <c r="G13" s="96">
        <f t="shared" si="0"/>
        <v>873.67</v>
      </c>
      <c r="H13" s="145">
        <f>G13/1.07^6</f>
        <v>582.16321068177251</v>
      </c>
    </row>
    <row r="14" spans="1:8" ht="15.75" x14ac:dyDescent="0.25">
      <c r="A14" s="141">
        <v>11</v>
      </c>
      <c r="B14" s="142">
        <v>2033</v>
      </c>
      <c r="C14" s="144">
        <v>371.77</v>
      </c>
      <c r="D14" s="144">
        <v>185.89</v>
      </c>
      <c r="E14" s="144">
        <v>185.89</v>
      </c>
      <c r="F14" s="144">
        <v>130.12</v>
      </c>
      <c r="G14" s="96">
        <f t="shared" si="0"/>
        <v>873.67</v>
      </c>
      <c r="H14" s="145">
        <f>G14/1.07^7</f>
        <v>544.07776699231067</v>
      </c>
    </row>
    <row r="15" spans="1:8" ht="15.75" x14ac:dyDescent="0.25">
      <c r="A15" s="141">
        <v>12</v>
      </c>
      <c r="B15" s="142">
        <v>2034</v>
      </c>
      <c r="C15" s="144">
        <v>371.77</v>
      </c>
      <c r="D15" s="144">
        <v>185.89</v>
      </c>
      <c r="E15" s="144">
        <v>185.89</v>
      </c>
      <c r="F15" s="144">
        <v>130.12</v>
      </c>
      <c r="G15" s="96">
        <f t="shared" si="0"/>
        <v>873.67</v>
      </c>
      <c r="H15" s="145">
        <f>G15/1.07^8</f>
        <v>508.48389438533712</v>
      </c>
    </row>
    <row r="16" spans="1:8" ht="15.75" x14ac:dyDescent="0.25">
      <c r="A16" s="141">
        <v>13</v>
      </c>
      <c r="B16" s="142">
        <v>2035</v>
      </c>
      <c r="C16" s="144">
        <v>371.77</v>
      </c>
      <c r="D16" s="144">
        <v>185.89</v>
      </c>
      <c r="E16" s="144">
        <v>185.89</v>
      </c>
      <c r="F16" s="144">
        <v>130.12</v>
      </c>
      <c r="G16" s="96">
        <f t="shared" si="0"/>
        <v>873.67</v>
      </c>
      <c r="H16" s="145">
        <f>G16/1.07^9</f>
        <v>475.21859288349259</v>
      </c>
    </row>
    <row r="17" spans="1:11" ht="15.75" x14ac:dyDescent="0.25">
      <c r="A17" s="141">
        <v>14</v>
      </c>
      <c r="B17" s="142">
        <v>2036</v>
      </c>
      <c r="C17" s="144">
        <v>371.77</v>
      </c>
      <c r="D17" s="144">
        <v>185.89</v>
      </c>
      <c r="E17" s="144">
        <v>185.89</v>
      </c>
      <c r="F17" s="144">
        <v>130.12</v>
      </c>
      <c r="G17" s="96">
        <f t="shared" si="0"/>
        <v>873.67</v>
      </c>
      <c r="H17" s="145">
        <f>G17/1.07^10</f>
        <v>444.1295260593389</v>
      </c>
    </row>
    <row r="18" spans="1:11" ht="15.75" x14ac:dyDescent="0.25">
      <c r="A18" s="141">
        <v>15</v>
      </c>
      <c r="B18" s="142">
        <v>2037</v>
      </c>
      <c r="C18" s="144">
        <v>371.77</v>
      </c>
      <c r="D18" s="144">
        <v>185.89</v>
      </c>
      <c r="E18" s="144">
        <v>185.89</v>
      </c>
      <c r="F18" s="144">
        <v>130.12</v>
      </c>
      <c r="G18" s="96">
        <f t="shared" si="0"/>
        <v>873.67</v>
      </c>
      <c r="H18" s="145">
        <f>G18/1.07^11</f>
        <v>415.0743234199428</v>
      </c>
    </row>
    <row r="19" spans="1:11" ht="15.75" x14ac:dyDescent="0.25">
      <c r="A19" s="141">
        <v>16</v>
      </c>
      <c r="B19" s="142">
        <v>2038</v>
      </c>
      <c r="C19" s="144">
        <v>371.77</v>
      </c>
      <c r="D19" s="144">
        <v>185.89</v>
      </c>
      <c r="E19" s="144">
        <v>185.89</v>
      </c>
      <c r="F19" s="144">
        <v>130.12</v>
      </c>
      <c r="G19" s="96">
        <f t="shared" si="0"/>
        <v>873.67</v>
      </c>
      <c r="H19" s="145">
        <f>G19/1.07^12</f>
        <v>387.9199284298532</v>
      </c>
    </row>
    <row r="20" spans="1:11" ht="15.75" x14ac:dyDescent="0.25">
      <c r="A20" s="141">
        <v>17</v>
      </c>
      <c r="B20" s="142">
        <v>2039</v>
      </c>
      <c r="C20" s="144">
        <v>371.77</v>
      </c>
      <c r="D20" s="144">
        <v>185.89</v>
      </c>
      <c r="E20" s="144">
        <v>185.89</v>
      </c>
      <c r="F20" s="144">
        <v>130.12</v>
      </c>
      <c r="G20" s="96">
        <f t="shared" si="0"/>
        <v>873.67</v>
      </c>
      <c r="H20" s="145">
        <f>G20/1.07^13</f>
        <v>362.54198918677866</v>
      </c>
    </row>
    <row r="21" spans="1:11" ht="15.75" x14ac:dyDescent="0.25">
      <c r="A21" s="141">
        <v>18</v>
      </c>
      <c r="B21" s="142">
        <v>2040</v>
      </c>
      <c r="C21" s="144">
        <v>371.77</v>
      </c>
      <c r="D21" s="144">
        <v>185.89</v>
      </c>
      <c r="E21" s="144">
        <v>185.89</v>
      </c>
      <c r="F21" s="144">
        <v>130.12</v>
      </c>
      <c r="G21" s="96">
        <f t="shared" si="0"/>
        <v>873.67</v>
      </c>
      <c r="H21" s="145">
        <f>G21/1.07^14</f>
        <v>338.82428895960624</v>
      </c>
    </row>
    <row r="22" spans="1:11" ht="15.75" x14ac:dyDescent="0.25">
      <c r="A22" s="141">
        <v>19</v>
      </c>
      <c r="B22" s="142">
        <v>2041</v>
      </c>
      <c r="C22" s="144">
        <v>371.77</v>
      </c>
      <c r="D22" s="144">
        <v>185.89</v>
      </c>
      <c r="E22" s="144">
        <v>185.89</v>
      </c>
      <c r="F22" s="144">
        <v>130.12</v>
      </c>
      <c r="G22" s="96">
        <f t="shared" si="0"/>
        <v>873.67</v>
      </c>
      <c r="H22" s="145">
        <f>G22/1.07^15</f>
        <v>316.65821398094033</v>
      </c>
    </row>
    <row r="23" spans="1:11" ht="15.75" x14ac:dyDescent="0.25">
      <c r="A23" s="141">
        <v>20</v>
      </c>
      <c r="B23" s="142">
        <v>2042</v>
      </c>
      <c r="C23" s="144">
        <v>371.77</v>
      </c>
      <c r="D23" s="144">
        <v>185.89</v>
      </c>
      <c r="E23" s="144">
        <v>185.89</v>
      </c>
      <c r="F23" s="144">
        <v>130.12</v>
      </c>
      <c r="G23" s="96">
        <f>C23+D23+E23+F23</f>
        <v>873.67</v>
      </c>
      <c r="H23" s="145">
        <f>G23/1.07^16</f>
        <v>295.94225605695362</v>
      </c>
    </row>
    <row r="24" spans="1:11" ht="15.75" x14ac:dyDescent="0.25">
      <c r="A24" s="141">
        <v>21</v>
      </c>
      <c r="B24" s="142">
        <v>2043</v>
      </c>
      <c r="C24" s="144">
        <v>371.77</v>
      </c>
      <c r="D24" s="144">
        <v>185.89</v>
      </c>
      <c r="E24" s="144">
        <v>185.89</v>
      </c>
      <c r="F24" s="144">
        <v>130.12</v>
      </c>
      <c r="G24" s="96">
        <f>C24+D24+E24+F24</f>
        <v>873.67</v>
      </c>
      <c r="H24" s="145">
        <f>G24/1.07^17</f>
        <v>276.58154771677908</v>
      </c>
    </row>
    <row r="25" spans="1:11" ht="15.75" x14ac:dyDescent="0.25">
      <c r="A25" s="141">
        <v>22</v>
      </c>
      <c r="B25" s="142">
        <v>2044</v>
      </c>
      <c r="C25" s="144">
        <v>371.77</v>
      </c>
      <c r="D25" s="144">
        <v>185.89</v>
      </c>
      <c r="E25" s="144">
        <v>185.89</v>
      </c>
      <c r="F25" s="144">
        <v>130.12</v>
      </c>
      <c r="G25" s="96">
        <f>C25+D25+E25+F25</f>
        <v>873.67</v>
      </c>
      <c r="H25" s="145">
        <f>G25/1.07^18</f>
        <v>258.48742777269075</v>
      </c>
    </row>
    <row r="26" spans="1:11" ht="15.75" x14ac:dyDescent="0.25">
      <c r="A26" s="141">
        <v>23</v>
      </c>
      <c r="B26" s="142">
        <v>2045</v>
      </c>
      <c r="C26" s="144">
        <v>371.77</v>
      </c>
      <c r="D26" s="144">
        <v>185.89</v>
      </c>
      <c r="E26" s="144">
        <v>185.89</v>
      </c>
      <c r="F26" s="144">
        <v>130.12</v>
      </c>
      <c r="G26" s="96">
        <f>C26+D26+E26+F26</f>
        <v>873.67</v>
      </c>
      <c r="H26" s="145">
        <f>G26/1.07^19</f>
        <v>241.57703530158011</v>
      </c>
    </row>
    <row r="27" spans="1:11" ht="16.5" thickBot="1" x14ac:dyDescent="0.3">
      <c r="A27" s="141">
        <v>24</v>
      </c>
      <c r="B27" s="142">
        <v>2046</v>
      </c>
      <c r="C27" s="144">
        <v>371.77</v>
      </c>
      <c r="D27" s="144">
        <v>185.89</v>
      </c>
      <c r="E27" s="144">
        <v>185.89</v>
      </c>
      <c r="F27" s="144">
        <v>130.12</v>
      </c>
      <c r="G27" s="96">
        <f>C27+D27+E27+F27</f>
        <v>873.67</v>
      </c>
      <c r="H27" s="145">
        <f>G27/1.07^20</f>
        <v>225.77293018839265</v>
      </c>
    </row>
    <row r="28" spans="1:11" ht="16.5" thickBot="1" x14ac:dyDescent="0.3">
      <c r="A28" s="308" t="s">
        <v>604</v>
      </c>
      <c r="B28" s="309"/>
      <c r="C28" s="309"/>
      <c r="D28" s="309"/>
      <c r="E28" s="309"/>
      <c r="F28" s="147"/>
      <c r="G28" s="148">
        <f>SUM(G8:G27)</f>
        <v>17473.400799999999</v>
      </c>
      <c r="H28" s="149"/>
    </row>
    <row r="29" spans="1:11" ht="16.5" thickBot="1" x14ac:dyDescent="0.3">
      <c r="A29" s="310" t="s">
        <v>582</v>
      </c>
      <c r="B29" s="311"/>
      <c r="C29" s="311"/>
      <c r="D29" s="311"/>
      <c r="E29" s="311"/>
      <c r="F29" s="150"/>
      <c r="G29" s="150"/>
      <c r="H29" s="151">
        <f>SUM(H8:H28)</f>
        <v>9255.6731735436533</v>
      </c>
      <c r="K29" s="170"/>
    </row>
    <row r="31" spans="1:11" ht="15.75" thickBot="1" x14ac:dyDescent="0.3"/>
    <row r="32" spans="1:11" x14ac:dyDescent="0.25">
      <c r="B32" s="324" t="s">
        <v>741</v>
      </c>
      <c r="C32" s="325"/>
      <c r="D32" s="325"/>
      <c r="E32" s="325"/>
      <c r="F32" s="325"/>
      <c r="G32" s="326"/>
    </row>
    <row r="33" spans="2:7" ht="30" x14ac:dyDescent="0.25">
      <c r="B33" s="322" t="s">
        <v>740</v>
      </c>
      <c r="C33" s="323"/>
      <c r="D33" s="323"/>
      <c r="E33" s="223" t="s">
        <v>659</v>
      </c>
      <c r="F33" s="223" t="s">
        <v>660</v>
      </c>
      <c r="G33" s="224" t="s">
        <v>742</v>
      </c>
    </row>
    <row r="34" spans="2:7" x14ac:dyDescent="0.25">
      <c r="B34" s="318" t="s">
        <v>593</v>
      </c>
      <c r="C34" s="319"/>
      <c r="D34" s="319"/>
      <c r="E34" s="187">
        <f>100 *0.59*0.89</f>
        <v>52.51</v>
      </c>
      <c r="F34" s="188">
        <v>7.08</v>
      </c>
      <c r="G34" s="189">
        <f>E34*F34</f>
        <v>371.77080000000001</v>
      </c>
    </row>
    <row r="35" spans="2:7" x14ac:dyDescent="0.25">
      <c r="B35" s="316" t="s">
        <v>656</v>
      </c>
      <c r="C35" s="317"/>
      <c r="D35" s="317"/>
      <c r="E35" s="182">
        <f>50*0.59*0.89</f>
        <v>26.254999999999999</v>
      </c>
      <c r="F35" s="183">
        <v>7.08</v>
      </c>
      <c r="G35" s="184">
        <f>E35*F35</f>
        <v>185.8854</v>
      </c>
    </row>
    <row r="36" spans="2:7" x14ac:dyDescent="0.25">
      <c r="B36" s="318" t="s">
        <v>657</v>
      </c>
      <c r="C36" s="319"/>
      <c r="D36" s="319"/>
      <c r="E36" s="187">
        <f>50*0.59*0.89</f>
        <v>26.254999999999999</v>
      </c>
      <c r="F36" s="188">
        <v>7.08</v>
      </c>
      <c r="G36" s="189">
        <f>E36*F36</f>
        <v>185.8854</v>
      </c>
    </row>
    <row r="37" spans="2:7" ht="15.75" thickBot="1" x14ac:dyDescent="0.3">
      <c r="B37" s="320" t="s">
        <v>658</v>
      </c>
      <c r="C37" s="321"/>
      <c r="D37" s="321"/>
      <c r="E37" s="179">
        <f>35*0.59*0.89</f>
        <v>18.378499999999999</v>
      </c>
      <c r="F37" s="185">
        <v>7.08</v>
      </c>
      <c r="G37" s="186">
        <f>E37*7.08</f>
        <v>130.11977999999999</v>
      </c>
    </row>
  </sheetData>
  <mergeCells count="9">
    <mergeCell ref="B35:D35"/>
    <mergeCell ref="B36:D36"/>
    <mergeCell ref="B37:D37"/>
    <mergeCell ref="B33:D33"/>
    <mergeCell ref="A1:H1"/>
    <mergeCell ref="A28:E28"/>
    <mergeCell ref="A29:E29"/>
    <mergeCell ref="B32:G32"/>
    <mergeCell ref="B34:D3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1B88B-FB78-429F-9757-3595C799F7CF}">
  <sheetPr>
    <pageSetUpPr fitToPage="1"/>
  </sheetPr>
  <dimension ref="A1:O76"/>
  <sheetViews>
    <sheetView workbookViewId="0">
      <selection activeCell="L43" sqref="L43"/>
    </sheetView>
  </sheetViews>
  <sheetFormatPr defaultRowHeight="15" x14ac:dyDescent="0.25"/>
  <cols>
    <col min="1" max="1" width="6.85546875" customWidth="1"/>
    <col min="2" max="2" width="18.28515625" customWidth="1"/>
    <col min="3" max="3" width="13.140625" customWidth="1"/>
    <col min="4" max="4" width="10.42578125" customWidth="1"/>
    <col min="5" max="5" width="10.28515625" customWidth="1"/>
    <col min="6" max="6" width="10.7109375" customWidth="1"/>
    <col min="7" max="7" width="15.85546875" customWidth="1"/>
    <col min="8" max="8" width="12.42578125" customWidth="1"/>
    <col min="9" max="9" width="14" customWidth="1"/>
    <col min="10" max="10" width="16" bestFit="1" customWidth="1"/>
    <col min="12" max="12" width="11" bestFit="1" customWidth="1"/>
  </cols>
  <sheetData>
    <row r="1" spans="1:13" ht="15.75" x14ac:dyDescent="0.25">
      <c r="A1" s="327" t="s">
        <v>749</v>
      </c>
      <c r="B1" s="307"/>
      <c r="C1" s="307"/>
      <c r="D1" s="307"/>
      <c r="E1" s="307"/>
      <c r="F1" s="307"/>
      <c r="G1" s="307"/>
      <c r="H1" s="307"/>
      <c r="I1" s="68"/>
    </row>
    <row r="2" spans="1:13" ht="15.75" x14ac:dyDescent="0.25">
      <c r="A2" s="338" t="s">
        <v>773</v>
      </c>
      <c r="B2" s="339"/>
      <c r="C2" s="339"/>
      <c r="D2" s="339"/>
      <c r="E2" s="339"/>
      <c r="F2" s="339"/>
      <c r="G2" s="339"/>
      <c r="H2" s="300"/>
      <c r="I2" s="104"/>
    </row>
    <row r="3" spans="1:13" ht="61.5" customHeight="1" x14ac:dyDescent="0.25">
      <c r="A3" s="86" t="s">
        <v>574</v>
      </c>
      <c r="B3" s="83" t="s">
        <v>1</v>
      </c>
      <c r="C3" s="83" t="s">
        <v>605</v>
      </c>
      <c r="D3" s="83" t="s">
        <v>606</v>
      </c>
      <c r="E3" s="83" t="s">
        <v>607</v>
      </c>
      <c r="F3" s="83" t="s">
        <v>608</v>
      </c>
      <c r="G3" s="83" t="s">
        <v>647</v>
      </c>
      <c r="H3" s="137" t="s">
        <v>4</v>
      </c>
      <c r="I3" s="95"/>
    </row>
    <row r="4" spans="1:13" ht="15.75" x14ac:dyDescent="0.25">
      <c r="A4" s="282">
        <v>0</v>
      </c>
      <c r="B4" s="70">
        <v>2022</v>
      </c>
      <c r="C4" s="87">
        <v>3.0779999999999998E-2</v>
      </c>
      <c r="D4" s="87">
        <v>4.5900000000000003E-3</v>
      </c>
      <c r="E4" s="87">
        <v>9.1800000000000007E-3</v>
      </c>
      <c r="F4" s="87">
        <v>1.7010000000000001E-2</v>
      </c>
      <c r="G4" s="70"/>
      <c r="H4" s="88"/>
      <c r="I4" s="96"/>
    </row>
    <row r="5" spans="1:13" ht="15.75" x14ac:dyDescent="0.25">
      <c r="A5" s="282">
        <v>1</v>
      </c>
      <c r="B5" s="70">
        <v>2023</v>
      </c>
      <c r="C5" s="87">
        <v>3.1140000000000001E-2</v>
      </c>
      <c r="D5" s="87">
        <v>4.6499999999999996E-3</v>
      </c>
      <c r="E5" s="87">
        <v>9.2899999999999996E-3</v>
      </c>
      <c r="F5" s="87">
        <v>1.72E-2</v>
      </c>
      <c r="G5" s="69"/>
      <c r="H5" s="88"/>
      <c r="I5" s="96"/>
    </row>
    <row r="6" spans="1:13" ht="15.75" x14ac:dyDescent="0.25">
      <c r="A6" s="282">
        <v>2</v>
      </c>
      <c r="B6" s="70" t="s">
        <v>578</v>
      </c>
      <c r="C6" s="87">
        <v>3.1489999999999997E-2</v>
      </c>
      <c r="D6" s="87">
        <v>4.7000000000000002E-3</v>
      </c>
      <c r="E6" s="87">
        <v>9.3900000000000008E-3</v>
      </c>
      <c r="F6" s="87">
        <v>1.7399999999999999E-2</v>
      </c>
      <c r="G6" s="69"/>
      <c r="H6" s="88"/>
      <c r="I6" s="96"/>
    </row>
    <row r="7" spans="1:13" ht="15.75" x14ac:dyDescent="0.25">
      <c r="A7" s="282">
        <v>3</v>
      </c>
      <c r="B7" s="70" t="s">
        <v>579</v>
      </c>
      <c r="C7" s="87">
        <v>3.1850000000000003E-2</v>
      </c>
      <c r="D7" s="87">
        <v>4.7499999999999999E-3</v>
      </c>
      <c r="E7" s="87">
        <v>9.4999999999999998E-3</v>
      </c>
      <c r="F7" s="87">
        <v>1.7600000000000001E-2</v>
      </c>
      <c r="G7" s="69"/>
      <c r="H7" s="88"/>
      <c r="I7" s="96"/>
      <c r="J7" s="3"/>
    </row>
    <row r="8" spans="1:13" ht="15.75" x14ac:dyDescent="0.25">
      <c r="A8" s="282">
        <v>4</v>
      </c>
      <c r="B8" s="70" t="s">
        <v>580</v>
      </c>
      <c r="C8" s="87">
        <v>3.2160000000000001E-2</v>
      </c>
      <c r="D8" s="87">
        <v>4.7999999999999996E-3</v>
      </c>
      <c r="E8" s="87">
        <v>9.5899999999999996E-3</v>
      </c>
      <c r="F8" s="87">
        <v>1.7770000000000001E-2</v>
      </c>
      <c r="G8" s="89"/>
      <c r="H8" s="88"/>
      <c r="I8" s="96"/>
    </row>
    <row r="9" spans="1:13" ht="15.75" x14ac:dyDescent="0.25">
      <c r="A9" s="282">
        <v>5</v>
      </c>
      <c r="B9" s="70">
        <v>2027</v>
      </c>
      <c r="C9" s="87">
        <v>3.252E-2</v>
      </c>
      <c r="D9" s="87">
        <v>4.8500000000000001E-3</v>
      </c>
      <c r="E9" s="87">
        <v>9.7000000000000003E-3</v>
      </c>
      <c r="F9" s="87">
        <v>1.797E-2</v>
      </c>
      <c r="G9" s="89">
        <f>C9*1*(D9*B37)+(E9*B36)+(F9*B38)</f>
        <v>5042.6224028000006</v>
      </c>
      <c r="H9" s="88">
        <f>G9/1.07</f>
        <v>4712.7312175700936</v>
      </c>
      <c r="I9" s="96"/>
      <c r="J9" s="22"/>
    </row>
    <row r="10" spans="1:13" ht="15.75" x14ac:dyDescent="0.25">
      <c r="A10" s="282">
        <v>6</v>
      </c>
      <c r="B10" s="70">
        <v>2028</v>
      </c>
      <c r="C10" s="87">
        <v>3.288E-2</v>
      </c>
      <c r="D10" s="87">
        <v>4.9100000000000003E-3</v>
      </c>
      <c r="E10" s="87">
        <v>9.8099999999999993E-3</v>
      </c>
      <c r="F10" s="87">
        <v>1.8169999999999999E-2</v>
      </c>
      <c r="G10" s="89">
        <f>C10*1*(D10*B37)+(E10*B36)+(F10*B38)</f>
        <v>5124.568125920001</v>
      </c>
      <c r="H10" s="88">
        <f>G10/1.07^2</f>
        <v>4475.9962668530006</v>
      </c>
      <c r="I10" s="96"/>
      <c r="M10" s="1"/>
    </row>
    <row r="11" spans="1:13" ht="15.75" x14ac:dyDescent="0.25">
      <c r="A11" s="282">
        <v>7</v>
      </c>
      <c r="B11" s="70">
        <v>2029</v>
      </c>
      <c r="C11" s="87">
        <v>3.3250000000000002E-2</v>
      </c>
      <c r="D11" s="87">
        <v>4.96E-3</v>
      </c>
      <c r="E11" s="87">
        <v>9.92E-3</v>
      </c>
      <c r="F11" s="87">
        <v>1.8370000000000001E-2</v>
      </c>
      <c r="G11" s="89">
        <f>C11*(D11*B37)+(B36*E11)+(B38*F11)</f>
        <v>5203.438008000001</v>
      </c>
      <c r="H11" s="88">
        <f>G11/1.07^3</f>
        <v>4247.5553984635644</v>
      </c>
      <c r="I11" s="96"/>
      <c r="J11" s="161"/>
    </row>
    <row r="12" spans="1:13" ht="15.75" x14ac:dyDescent="0.25">
      <c r="A12" s="282">
        <v>8</v>
      </c>
      <c r="B12" s="70">
        <v>2030</v>
      </c>
      <c r="C12" s="87">
        <v>3.3250000000000002E-2</v>
      </c>
      <c r="D12" s="87">
        <v>4.96E-3</v>
      </c>
      <c r="E12" s="87">
        <v>9.92E-3</v>
      </c>
      <c r="F12" s="87">
        <v>1.8370000000000001E-2</v>
      </c>
      <c r="G12" s="89">
        <f>C12*1*(B37*D12)+(E12*B36)+(F12*B38)</f>
        <v>5203.438008000001</v>
      </c>
      <c r="H12" s="88">
        <f>G12/1.07^4</f>
        <v>3969.677942489313</v>
      </c>
      <c r="I12" s="96"/>
      <c r="J12" s="65"/>
    </row>
    <row r="13" spans="1:13" ht="15.75" x14ac:dyDescent="0.25">
      <c r="A13" s="282">
        <v>9</v>
      </c>
      <c r="B13" s="70">
        <v>2031</v>
      </c>
      <c r="C13" s="87">
        <v>3.3989999999999999E-2</v>
      </c>
      <c r="D13" s="87">
        <v>5.0699999999999999E-3</v>
      </c>
      <c r="E13" s="87">
        <v>1.014E-2</v>
      </c>
      <c r="F13" s="87">
        <v>1.8780000000000002E-2</v>
      </c>
      <c r="G13" s="89">
        <f>C13*1*(D13*B37)+(E13*B36)+(B38*F13)</f>
        <v>5367.0121558199999</v>
      </c>
      <c r="H13" s="88">
        <f>G13/1.07^5</f>
        <v>3826.605492220508</v>
      </c>
      <c r="I13" s="96"/>
      <c r="J13" s="65"/>
    </row>
    <row r="14" spans="1:13" ht="15.75" x14ac:dyDescent="0.25">
      <c r="A14" s="282">
        <v>10</v>
      </c>
      <c r="B14" s="70">
        <v>2032</v>
      </c>
      <c r="C14" s="87">
        <v>3.4360000000000002E-2</v>
      </c>
      <c r="D14" s="87">
        <v>5.13E-3</v>
      </c>
      <c r="E14" s="87">
        <v>1.025E-2</v>
      </c>
      <c r="F14" s="87">
        <v>1.899E-2</v>
      </c>
      <c r="G14" s="89">
        <f>C14*1*(D14*B37)+(B36*E14)+(F14*B38)</f>
        <v>5451.8114183200005</v>
      </c>
      <c r="H14" s="88">
        <f>G14/1.07^6</f>
        <v>3632.7721443116043</v>
      </c>
      <c r="I14" s="96"/>
      <c r="J14" s="65"/>
    </row>
    <row r="15" spans="1:13" ht="15.75" x14ac:dyDescent="0.25">
      <c r="A15" s="282">
        <v>11</v>
      </c>
      <c r="B15" s="70">
        <v>2033</v>
      </c>
      <c r="C15" s="87">
        <v>3.474E-2</v>
      </c>
      <c r="D15" s="87">
        <v>5.1799999999999997E-3</v>
      </c>
      <c r="E15" s="87">
        <v>1.0359999999999999E-2</v>
      </c>
      <c r="F15" s="87">
        <v>1.9189999999999999E-2</v>
      </c>
      <c r="G15" s="89">
        <f>C15*1*(D15*B37)+(E15*B36)+(F15*B38)</f>
        <v>5533.3412096799993</v>
      </c>
      <c r="H15" s="88">
        <f>G15/1.07^7</f>
        <v>3445.8868100875907</v>
      </c>
      <c r="I15" s="96"/>
    </row>
    <row r="16" spans="1:13" ht="15.75" x14ac:dyDescent="0.25">
      <c r="A16" s="282">
        <v>12</v>
      </c>
      <c r="B16" s="70">
        <v>2034</v>
      </c>
      <c r="C16" s="87">
        <v>3.517E-2</v>
      </c>
      <c r="D16" s="87">
        <v>5.2500000000000003E-3</v>
      </c>
      <c r="E16" s="87">
        <v>1.0489999999999999E-2</v>
      </c>
      <c r="F16" s="87">
        <v>1.9429999999999999E-2</v>
      </c>
      <c r="G16" s="89">
        <f>C16*1*(D16*B37)+(E16*B36)+(B38*F16)</f>
        <v>5633.9816294999991</v>
      </c>
      <c r="H16" s="88">
        <f>G16/1.07^8</f>
        <v>3279.0286033211705</v>
      </c>
      <c r="I16" s="96"/>
    </row>
    <row r="17" spans="1:15" ht="15.75" x14ac:dyDescent="0.25">
      <c r="A17" s="282">
        <v>13</v>
      </c>
      <c r="B17" s="70">
        <v>2035</v>
      </c>
      <c r="C17" s="87">
        <v>3.5549999999999998E-2</v>
      </c>
      <c r="D17" s="87">
        <v>5.3E-3</v>
      </c>
      <c r="E17" s="87">
        <v>1.061E-2</v>
      </c>
      <c r="F17" s="87">
        <v>1.9640000000000001E-2</v>
      </c>
      <c r="G17" s="89">
        <f>C17*1*(D17*B37)+(E17*B36)+(F17*B38)</f>
        <v>5719.6887209999995</v>
      </c>
      <c r="H17" s="88">
        <f>G17/1.07^9</f>
        <v>3111.1316924298685</v>
      </c>
      <c r="I17" s="96"/>
    </row>
    <row r="18" spans="1:15" ht="15.75" x14ac:dyDescent="0.25">
      <c r="A18" s="282">
        <v>14</v>
      </c>
      <c r="B18" s="70">
        <v>2036</v>
      </c>
      <c r="C18" s="87">
        <v>3.5880000000000002E-2</v>
      </c>
      <c r="D18" s="87">
        <v>5.3499999999999997E-3</v>
      </c>
      <c r="E18" s="87">
        <v>1.0699999999999999E-2</v>
      </c>
      <c r="F18" s="87">
        <v>1.9820000000000001E-2</v>
      </c>
      <c r="G18" s="89">
        <f>C18*1*(B37*D18)+(B36*E18)+(B38*F18)</f>
        <v>5793.2336291999991</v>
      </c>
      <c r="H18" s="88">
        <f>G18/1.07^10</f>
        <v>2944.9862145748616</v>
      </c>
      <c r="I18" s="96"/>
    </row>
    <row r="19" spans="1:15" ht="15.75" x14ac:dyDescent="0.25">
      <c r="A19" s="282">
        <v>15</v>
      </c>
      <c r="B19" s="70">
        <v>2037</v>
      </c>
      <c r="C19" s="87">
        <v>3.6269999999999997E-2</v>
      </c>
      <c r="D19" s="87">
        <v>5.4099999999999999E-3</v>
      </c>
      <c r="E19" s="87">
        <v>1.082E-2</v>
      </c>
      <c r="F19" s="87">
        <v>1.9910000000000001E-2</v>
      </c>
      <c r="G19" s="89">
        <f>C19*1*(D19*B37)+(E19*B36)+(F19*B38)</f>
        <v>5884.68161418</v>
      </c>
      <c r="H19" s="88">
        <f>G19/1.07^11</f>
        <v>2795.7698439313936</v>
      </c>
      <c r="I19" s="96"/>
    </row>
    <row r="20" spans="1:15" ht="15.75" x14ac:dyDescent="0.25">
      <c r="A20" s="282">
        <v>16</v>
      </c>
      <c r="B20" s="70">
        <v>2038</v>
      </c>
      <c r="C20" s="87">
        <v>3.6659999999999998E-2</v>
      </c>
      <c r="D20" s="87">
        <v>5.47E-3</v>
      </c>
      <c r="E20" s="87">
        <v>1.093E-2</v>
      </c>
      <c r="F20" s="87">
        <v>2.0250000000000001E-2</v>
      </c>
      <c r="G20" s="89">
        <f>C20*1*(D20*B37)+(B36*E20)+(B38*F20)</f>
        <v>5974.8543894799996</v>
      </c>
      <c r="H20" s="88">
        <f>G20/1.07^12</f>
        <v>2652.9068036511217</v>
      </c>
      <c r="I20" s="96"/>
    </row>
    <row r="21" spans="1:15" ht="15.75" x14ac:dyDescent="0.25">
      <c r="A21" s="282">
        <v>17</v>
      </c>
      <c r="B21" s="70">
        <v>2039</v>
      </c>
      <c r="C21" s="87">
        <v>3.7100000000000001E-2</v>
      </c>
      <c r="D21" s="87">
        <v>5.5300000000000002E-3</v>
      </c>
      <c r="E21" s="87">
        <v>1.107E-2</v>
      </c>
      <c r="F21" s="87">
        <v>2.0500000000000001E-2</v>
      </c>
      <c r="G21" s="89">
        <f>C21*1*(D21*B37)+(E21*B36)+(B38*F21)</f>
        <v>6077.8414962000006</v>
      </c>
      <c r="H21" s="88">
        <f>G21/1.07^13</f>
        <v>2522.0881408246764</v>
      </c>
      <c r="I21" s="96"/>
      <c r="O21" s="66"/>
    </row>
    <row r="22" spans="1:15" ht="15.75" x14ac:dyDescent="0.25">
      <c r="A22" s="282">
        <v>18</v>
      </c>
      <c r="B22" s="70">
        <v>2040</v>
      </c>
      <c r="C22" s="87">
        <v>3.7490000000000002E-2</v>
      </c>
      <c r="D22" s="87">
        <v>5.5900000000000004E-3</v>
      </c>
      <c r="E22" s="87">
        <v>1.1180000000000001E-2</v>
      </c>
      <c r="F22" s="87">
        <v>2.0719999999999999E-2</v>
      </c>
      <c r="G22" s="89">
        <f>C22*1*(D22*B37)+(E22*B36)+(B38*F22)</f>
        <v>6168.7023643400007</v>
      </c>
      <c r="H22" s="88">
        <f>G22/1.07^14</f>
        <v>2392.3291315953879</v>
      </c>
      <c r="I22" s="96"/>
    </row>
    <row r="23" spans="1:15" ht="15.75" x14ac:dyDescent="0.25">
      <c r="A23" s="282">
        <v>19</v>
      </c>
      <c r="B23" s="70">
        <v>2041</v>
      </c>
      <c r="C23" s="87">
        <v>3.7830000000000003E-2</v>
      </c>
      <c r="D23" s="87">
        <v>5.64E-3</v>
      </c>
      <c r="E23" s="87">
        <v>1.129E-2</v>
      </c>
      <c r="F23" s="87">
        <v>2.0899999999999998E-2</v>
      </c>
      <c r="G23" s="89">
        <f>C23*1*(D23*B37)+(E23*B36)+(F23*B38)</f>
        <v>6251.4970688800004</v>
      </c>
      <c r="H23" s="88">
        <f>G23/1.07^15</f>
        <v>2265.8302294214345</v>
      </c>
      <c r="I23" s="96"/>
    </row>
    <row r="24" spans="1:15" ht="15.75" x14ac:dyDescent="0.25">
      <c r="A24" s="282">
        <v>20</v>
      </c>
      <c r="B24" s="70">
        <v>2042</v>
      </c>
      <c r="C24" s="87">
        <v>3.823E-2</v>
      </c>
      <c r="D24" s="87">
        <v>5.7000000000000002E-3</v>
      </c>
      <c r="E24" s="87">
        <v>1.14E-2</v>
      </c>
      <c r="F24" s="87">
        <v>2.112E-2</v>
      </c>
      <c r="G24" s="89">
        <f>C24*1*(D24*B37)+(E24*B36)+(B38*F24)</f>
        <v>6344.2026714000003</v>
      </c>
      <c r="H24" s="88">
        <f>G24/1.07^16</f>
        <v>2149.0009402367809</v>
      </c>
      <c r="I24" s="96"/>
    </row>
    <row r="25" spans="1:15" ht="15.75" x14ac:dyDescent="0.25">
      <c r="A25" s="282">
        <v>21</v>
      </c>
      <c r="B25" s="70">
        <v>2043</v>
      </c>
      <c r="C25" s="87">
        <v>3.8629999999999998E-2</v>
      </c>
      <c r="D25" s="87">
        <v>5.7600000000000004E-3</v>
      </c>
      <c r="E25" s="87">
        <v>1.1520000000000001E-2</v>
      </c>
      <c r="F25" s="87">
        <v>2.1340000000000001E-2</v>
      </c>
      <c r="G25" s="89">
        <f>C25*1*(B37*D25)+(E25*B36)+(B38*F25)</f>
        <v>6440.5504691199994</v>
      </c>
      <c r="H25" s="88">
        <f>G25/1.07^17</f>
        <v>2038.9133390150025</v>
      </c>
      <c r="I25" s="96"/>
    </row>
    <row r="26" spans="1:15" ht="15.75" x14ac:dyDescent="0.25">
      <c r="A26" s="282">
        <v>22</v>
      </c>
      <c r="B26" s="70">
        <v>2044</v>
      </c>
      <c r="C26" s="87">
        <v>3.9030000000000002E-2</v>
      </c>
      <c r="D26" s="87">
        <v>5.8199999999999997E-3</v>
      </c>
      <c r="E26" s="87">
        <v>1.1639999999999999E-2</v>
      </c>
      <c r="F26" s="87">
        <v>2.1559999999999999E-2</v>
      </c>
      <c r="G26" s="89">
        <f>C26*1*(D26*B37)+(B36*E26)+(B38*F26)</f>
        <v>6537.5144620399997</v>
      </c>
      <c r="H26" s="88">
        <f>G26/1.07^18</f>
        <v>1934.2146317482409</v>
      </c>
      <c r="I26" s="96"/>
    </row>
    <row r="27" spans="1:15" ht="15.75" x14ac:dyDescent="0.25">
      <c r="A27" s="282">
        <v>23</v>
      </c>
      <c r="B27" s="70">
        <v>2045</v>
      </c>
      <c r="C27" s="87">
        <v>3.943E-2</v>
      </c>
      <c r="D27" s="87">
        <v>5.8799999999999998E-3</v>
      </c>
      <c r="E27" s="87">
        <v>1.176E-2</v>
      </c>
      <c r="F27" s="87">
        <v>2.179E-2</v>
      </c>
      <c r="G27" s="89">
        <f>C27*1*(D27*B37)+(B36*E27)+(B38*F27)</f>
        <v>6635.1406501600004</v>
      </c>
      <c r="H27" s="88">
        <f>G27/1.07^19</f>
        <v>1834.6716804681994</v>
      </c>
      <c r="I27" s="96"/>
    </row>
    <row r="28" spans="1:15" ht="16.5" thickBot="1" x14ac:dyDescent="0.3">
      <c r="A28" s="283">
        <v>24</v>
      </c>
      <c r="B28" s="90">
        <v>2046</v>
      </c>
      <c r="C28" s="91">
        <v>3.9890000000000002E-2</v>
      </c>
      <c r="D28" s="91">
        <v>5.9500000000000004E-3</v>
      </c>
      <c r="E28" s="91">
        <v>1.1900000000000001E-2</v>
      </c>
      <c r="F28" s="91">
        <v>2.2040000000000001E-2</v>
      </c>
      <c r="G28" s="92">
        <f>C28*1*(D28*B37)+(B36*E28)+(B38*F28)</f>
        <v>6749.2231217000008</v>
      </c>
      <c r="H28" s="93">
        <f>G28/1.07^20</f>
        <v>1744.1275088780201</v>
      </c>
      <c r="I28" s="96"/>
    </row>
    <row r="29" spans="1:15" ht="16.5" thickBot="1" x14ac:dyDescent="0.3">
      <c r="A29" s="330" t="s">
        <v>643</v>
      </c>
      <c r="B29" s="331"/>
      <c r="C29" s="331"/>
      <c r="D29" s="331"/>
      <c r="E29" s="331"/>
      <c r="F29" s="94"/>
      <c r="G29" s="134">
        <f>SUM(G9:G28)</f>
        <v>117137.34361573998</v>
      </c>
      <c r="H29" s="135"/>
      <c r="I29" s="102"/>
    </row>
    <row r="30" spans="1:15" ht="16.5" thickBot="1" x14ac:dyDescent="0.3">
      <c r="A30" s="332" t="s">
        <v>609</v>
      </c>
      <c r="B30" s="333"/>
      <c r="C30" s="333"/>
      <c r="D30" s="333"/>
      <c r="E30" s="333"/>
      <c r="F30" s="94"/>
      <c r="G30" s="134"/>
      <c r="H30" s="136">
        <f>SUM(H4:H28)</f>
        <v>59976.224032091835</v>
      </c>
      <c r="I30" s="103"/>
    </row>
    <row r="31" spans="1:15" x14ac:dyDescent="0.25">
      <c r="A31" s="226" t="s">
        <v>644</v>
      </c>
    </row>
    <row r="32" spans="1:15" x14ac:dyDescent="0.25">
      <c r="A32" s="60" t="s">
        <v>642</v>
      </c>
      <c r="C32">
        <v>3.8199999999999998E-2</v>
      </c>
    </row>
    <row r="33" spans="1:9" x14ac:dyDescent="0.25">
      <c r="A33" s="60"/>
    </row>
    <row r="34" spans="1:9" x14ac:dyDescent="0.25">
      <c r="A34" t="s">
        <v>610</v>
      </c>
      <c r="H34" s="67"/>
      <c r="I34" s="67"/>
    </row>
    <row r="35" spans="1:9" x14ac:dyDescent="0.25">
      <c r="A35" t="s">
        <v>611</v>
      </c>
    </row>
    <row r="36" spans="1:9" x14ac:dyDescent="0.25">
      <c r="A36" t="s">
        <v>612</v>
      </c>
      <c r="B36" s="21">
        <v>302600</v>
      </c>
    </row>
    <row r="37" spans="1:9" x14ac:dyDescent="0.25">
      <c r="A37" t="s">
        <v>613</v>
      </c>
      <c r="B37" s="21">
        <v>12837400</v>
      </c>
    </row>
    <row r="38" spans="1:9" x14ac:dyDescent="0.25">
      <c r="A38" t="s">
        <v>614</v>
      </c>
      <c r="B38" s="21">
        <v>4600</v>
      </c>
    </row>
    <row r="39" spans="1:9" x14ac:dyDescent="0.25">
      <c r="A39" t="s">
        <v>615</v>
      </c>
      <c r="B39" s="21">
        <v>554800</v>
      </c>
    </row>
    <row r="42" spans="1:9" ht="15.75" x14ac:dyDescent="0.25">
      <c r="A42" s="334" t="s">
        <v>775</v>
      </c>
      <c r="B42" s="335"/>
      <c r="C42" s="335"/>
      <c r="D42" s="335"/>
      <c r="E42" s="335"/>
      <c r="F42" s="335"/>
      <c r="G42" s="335"/>
      <c r="H42" s="336"/>
      <c r="I42" s="97"/>
    </row>
    <row r="43" spans="1:9" ht="78.75" x14ac:dyDescent="0.25">
      <c r="A43" s="105" t="s">
        <v>574</v>
      </c>
      <c r="B43" s="83" t="s">
        <v>1</v>
      </c>
      <c r="C43" s="83" t="s">
        <v>605</v>
      </c>
      <c r="D43" s="83" t="s">
        <v>606</v>
      </c>
      <c r="E43" s="83" t="s">
        <v>607</v>
      </c>
      <c r="F43" s="83" t="s">
        <v>608</v>
      </c>
      <c r="G43" s="106" t="s">
        <v>646</v>
      </c>
      <c r="H43" s="107" t="s">
        <v>4</v>
      </c>
      <c r="I43" s="98"/>
    </row>
    <row r="44" spans="1:9" ht="15.75" x14ac:dyDescent="0.25">
      <c r="A44" s="285">
        <v>0</v>
      </c>
      <c r="B44" s="70">
        <v>2022</v>
      </c>
      <c r="C44" s="87">
        <v>3.039E-2</v>
      </c>
      <c r="D44" s="87">
        <v>4.5300000000000002E-3</v>
      </c>
      <c r="E44" s="87">
        <v>7.3600000000000002E-3</v>
      </c>
      <c r="F44" s="87">
        <v>1.8499999999999999E-2</v>
      </c>
      <c r="G44" s="108"/>
      <c r="H44" s="109"/>
      <c r="I44" s="97"/>
    </row>
    <row r="45" spans="1:9" ht="15.75" x14ac:dyDescent="0.25">
      <c r="A45" s="285">
        <v>1</v>
      </c>
      <c r="B45" s="70">
        <v>2023</v>
      </c>
      <c r="C45" s="87">
        <v>3.0550000000000001E-2</v>
      </c>
      <c r="D45" s="87">
        <v>4.5599999999999998E-3</v>
      </c>
      <c r="E45" s="87">
        <v>7.4000000000000003E-3</v>
      </c>
      <c r="F45" s="87">
        <v>1.8589999999999999E-2</v>
      </c>
      <c r="G45" s="108"/>
      <c r="H45" s="109"/>
      <c r="I45" s="97"/>
    </row>
    <row r="46" spans="1:9" ht="15.75" x14ac:dyDescent="0.25">
      <c r="A46" s="285">
        <v>2</v>
      </c>
      <c r="B46" s="70" t="s">
        <v>578</v>
      </c>
      <c r="C46" s="87">
        <v>3.0550000000000001E-2</v>
      </c>
      <c r="D46" s="87">
        <v>4.5599999999999998E-3</v>
      </c>
      <c r="E46" s="87">
        <v>7.4000000000000003E-3</v>
      </c>
      <c r="F46" s="87">
        <v>1.8589999999999999E-2</v>
      </c>
      <c r="G46" s="108"/>
      <c r="H46" s="109"/>
      <c r="I46" s="97"/>
    </row>
    <row r="47" spans="1:9" ht="15.75" x14ac:dyDescent="0.25">
      <c r="A47" s="285">
        <v>3</v>
      </c>
      <c r="B47" s="70" t="s">
        <v>579</v>
      </c>
      <c r="C47" s="87">
        <v>3.0550000000000001E-2</v>
      </c>
      <c r="D47" s="87">
        <v>4.5599999999999998E-3</v>
      </c>
      <c r="E47" s="87">
        <v>7.4000000000000003E-3</v>
      </c>
      <c r="F47" s="87">
        <v>1.8589999999999999E-2</v>
      </c>
      <c r="G47" s="108"/>
      <c r="H47" s="109"/>
      <c r="I47" s="97"/>
    </row>
    <row r="48" spans="1:9" ht="15.75" x14ac:dyDescent="0.25">
      <c r="A48" s="285">
        <v>4</v>
      </c>
      <c r="B48" s="70" t="s">
        <v>580</v>
      </c>
      <c r="C48" s="87">
        <v>3.1009999999999999E-2</v>
      </c>
      <c r="D48" s="87">
        <v>4.6299999999999996E-3</v>
      </c>
      <c r="E48" s="87">
        <v>7.5100000000000004E-4</v>
      </c>
      <c r="F48" s="87">
        <v>1.8870000000000001E-2</v>
      </c>
      <c r="G48" s="110"/>
      <c r="H48" s="109"/>
      <c r="I48" s="97"/>
    </row>
    <row r="49" spans="1:9" ht="15.75" x14ac:dyDescent="0.25">
      <c r="A49" s="285">
        <v>5</v>
      </c>
      <c r="B49" s="70">
        <v>2027</v>
      </c>
      <c r="C49" s="87">
        <v>3.1150000000000001E-2</v>
      </c>
      <c r="D49" s="87">
        <v>4.6499999999999996E-3</v>
      </c>
      <c r="E49" s="87">
        <v>7.5500000000000003E-3</v>
      </c>
      <c r="F49" s="87">
        <v>1.8960000000000001E-2</v>
      </c>
      <c r="G49" s="110">
        <f>C49*1*(D49*B37)+(E49*B36)+(F49*B38)</f>
        <v>4231.3112965</v>
      </c>
      <c r="H49" s="109">
        <f>G49/1.07</f>
        <v>3954.4965387850466</v>
      </c>
      <c r="I49" s="99"/>
    </row>
    <row r="50" spans="1:9" ht="15.75" x14ac:dyDescent="0.25">
      <c r="A50" s="285">
        <v>6</v>
      </c>
      <c r="B50" s="70">
        <v>2028</v>
      </c>
      <c r="C50" s="87">
        <v>3.1309999999999998E-2</v>
      </c>
      <c r="D50" s="87">
        <v>4.6699999999999997E-3</v>
      </c>
      <c r="E50" s="87">
        <v>7.5799999999999999E-3</v>
      </c>
      <c r="F50" s="87">
        <v>1.9050000000000001E-2</v>
      </c>
      <c r="G50" s="110">
        <f>C50*1*(D50*B37)+(E50*B36)+(F50*B38)</f>
        <v>4258.3931019800002</v>
      </c>
      <c r="H50" s="109">
        <f>G50/1.07^2</f>
        <v>3719.4454554808281</v>
      </c>
      <c r="I50" s="99"/>
    </row>
    <row r="51" spans="1:9" ht="15.75" x14ac:dyDescent="0.25">
      <c r="A51" s="285">
        <v>7</v>
      </c>
      <c r="B51" s="70">
        <v>2029</v>
      </c>
      <c r="C51" s="87">
        <v>3.1469999999999998E-2</v>
      </c>
      <c r="D51" s="87">
        <v>4.6899999999999997E-3</v>
      </c>
      <c r="E51" s="87">
        <v>7.62E-3</v>
      </c>
      <c r="F51" s="87">
        <v>1.915E-2</v>
      </c>
      <c r="G51" s="110">
        <f>C51*1*(D51*B37)+(B36*E51)+(B38*F51)</f>
        <v>4288.6290668199999</v>
      </c>
      <c r="H51" s="109">
        <f>G51/1.07^3</f>
        <v>3500.7988020175617</v>
      </c>
      <c r="I51" s="99"/>
    </row>
    <row r="52" spans="1:9" ht="15.75" x14ac:dyDescent="0.25">
      <c r="A52" s="285">
        <v>8</v>
      </c>
      <c r="B52" s="70">
        <v>2030</v>
      </c>
      <c r="C52" s="87">
        <v>3.1620000000000002E-2</v>
      </c>
      <c r="D52" s="87">
        <v>4.7200000000000002E-3</v>
      </c>
      <c r="E52" s="87">
        <v>7.6600000000000001E-3</v>
      </c>
      <c r="F52" s="87">
        <v>1.924E-2</v>
      </c>
      <c r="G52" s="110">
        <f>C52*1*(D52*B37)+(E52*B36)+(F52*B38)</f>
        <v>4322.3557353599999</v>
      </c>
      <c r="H52" s="109">
        <f>G52/1.07^4</f>
        <v>3297.5044952723038</v>
      </c>
      <c r="I52" s="99"/>
    </row>
    <row r="53" spans="1:9" ht="15.75" x14ac:dyDescent="0.25">
      <c r="A53" s="285">
        <v>9</v>
      </c>
      <c r="B53" s="70">
        <v>2031</v>
      </c>
      <c r="C53" s="87">
        <v>3.177E-2</v>
      </c>
      <c r="D53" s="87">
        <v>4.7400000000000003E-3</v>
      </c>
      <c r="E53" s="87">
        <v>7.7000000000000002E-3</v>
      </c>
      <c r="F53" s="87">
        <v>1.934E-2</v>
      </c>
      <c r="G53" s="110">
        <f>C53*1*(D53*B37)+(E53*B36)+(F53*B38)</f>
        <v>4352.1654985200003</v>
      </c>
      <c r="H53" s="109">
        <f>G53/1.07^5</f>
        <v>3103.0338512704097</v>
      </c>
      <c r="I53" s="99"/>
    </row>
    <row r="54" spans="1:9" ht="15.75" x14ac:dyDescent="0.25">
      <c r="A54" s="285">
        <v>10</v>
      </c>
      <c r="B54" s="70">
        <v>2032</v>
      </c>
      <c r="C54" s="87">
        <v>3.1940000000000003E-2</v>
      </c>
      <c r="D54" s="87">
        <v>4.7699999999999999E-3</v>
      </c>
      <c r="E54" s="87">
        <v>7.7400000000000004E-3</v>
      </c>
      <c r="F54" s="87">
        <v>1.9439999999999999E-2</v>
      </c>
      <c r="G54" s="110">
        <f>C54*1*(D54*B37)+(E54*B36)+(F54*B38)</f>
        <v>4387.3746721200005</v>
      </c>
      <c r="H54" s="109">
        <f>G54/1.07^6</f>
        <v>2923.4929957366835</v>
      </c>
      <c r="I54" s="99"/>
    </row>
    <row r="55" spans="1:9" ht="15.75" x14ac:dyDescent="0.25">
      <c r="A55" s="285">
        <v>11</v>
      </c>
      <c r="B55" s="70">
        <v>2033</v>
      </c>
      <c r="C55" s="87">
        <v>3.209E-2</v>
      </c>
      <c r="D55" s="87">
        <v>4.79E-3</v>
      </c>
      <c r="E55" s="87">
        <v>7.77E-3</v>
      </c>
      <c r="F55" s="87">
        <v>1.9529999999999999E-2</v>
      </c>
      <c r="G55" s="110">
        <f>C55*1*(B37*D55)+(E55*B36)+(F55*B38)</f>
        <v>4414.29087514</v>
      </c>
      <c r="H55" s="109">
        <f>G55/1.07^7</f>
        <v>2748.998503096941</v>
      </c>
      <c r="I55" s="99"/>
    </row>
    <row r="56" spans="1:9" ht="15.75" x14ac:dyDescent="0.25">
      <c r="A56" s="285">
        <v>12</v>
      </c>
      <c r="B56" s="70">
        <v>2034</v>
      </c>
      <c r="C56" s="87">
        <v>3.2250000000000001E-2</v>
      </c>
      <c r="D56" s="87">
        <v>4.81E-3</v>
      </c>
      <c r="E56" s="87">
        <v>7.8100000000000001E-3</v>
      </c>
      <c r="F56" s="87">
        <v>1.9630000000000002E-2</v>
      </c>
      <c r="G56" s="110">
        <f>C56*1*(D56*B37)+(B36*E56)+(F56*B38)</f>
        <v>4444.9735814999995</v>
      </c>
      <c r="H56" s="109">
        <f>G56/1.07^8</f>
        <v>2587.0150939840664</v>
      </c>
      <c r="I56" s="99"/>
    </row>
    <row r="57" spans="1:9" ht="15.75" x14ac:dyDescent="0.25">
      <c r="A57" s="285">
        <v>13</v>
      </c>
      <c r="B57" s="70">
        <v>2035</v>
      </c>
      <c r="C57" s="87">
        <v>3.2410000000000001E-2</v>
      </c>
      <c r="D57" s="87">
        <v>4.8300000000000001E-3</v>
      </c>
      <c r="E57" s="87">
        <v>7.8499999999999993E-3</v>
      </c>
      <c r="F57" s="87">
        <v>1.9720000000000001E-2</v>
      </c>
      <c r="G57" s="110">
        <f>C57*1*(D57*B37)+(E57*B36)+(F57*B38)</f>
        <v>4475.6924472199998</v>
      </c>
      <c r="H57" s="109">
        <f>G57/1.07^9</f>
        <v>2434.4801434719789</v>
      </c>
      <c r="I57" s="99"/>
    </row>
    <row r="58" spans="1:9" ht="15.75" x14ac:dyDescent="0.25">
      <c r="A58" s="285">
        <v>14</v>
      </c>
      <c r="B58" s="70">
        <v>2036</v>
      </c>
      <c r="C58" s="87">
        <v>3.2570000000000002E-2</v>
      </c>
      <c r="D58" s="87">
        <v>4.8599999999999997E-3</v>
      </c>
      <c r="E58" s="87">
        <v>7.8899999999999994E-3</v>
      </c>
      <c r="F58" s="87">
        <v>1.9820000000000001E-2</v>
      </c>
      <c r="G58" s="110">
        <f>C58*1*(D58*B37)+(E58*B36)+(F58*B38)</f>
        <v>4510.720613479999</v>
      </c>
      <c r="H58" s="109">
        <f>G58/1.07^10</f>
        <v>2293.0216308800373</v>
      </c>
      <c r="I58" s="99"/>
    </row>
    <row r="59" spans="1:9" ht="15.75" x14ac:dyDescent="0.25">
      <c r="A59" s="285">
        <v>15</v>
      </c>
      <c r="B59" s="70">
        <v>2037</v>
      </c>
      <c r="C59" s="87">
        <v>3.2719999999999999E-2</v>
      </c>
      <c r="D59" s="87">
        <v>4.8799999999999998E-3</v>
      </c>
      <c r="E59" s="87">
        <v>7.9299999999999995E-3</v>
      </c>
      <c r="F59" s="87">
        <v>1.9910000000000001E-2</v>
      </c>
      <c r="G59" s="110">
        <f>C59*1*(D59*B37)+(E59*B36)+(F59*B38)</f>
        <v>4540.9978726399995</v>
      </c>
      <c r="H59" s="109">
        <f>G59/1.07^11</f>
        <v>2157.3953777026195</v>
      </c>
      <c r="I59" s="99"/>
    </row>
    <row r="60" spans="1:9" ht="15.75" x14ac:dyDescent="0.25">
      <c r="A60" s="285">
        <v>16</v>
      </c>
      <c r="B60" s="70">
        <v>2038</v>
      </c>
      <c r="C60" s="87">
        <v>3.2870000000000003E-2</v>
      </c>
      <c r="D60" s="87">
        <v>4.8999999999999998E-3</v>
      </c>
      <c r="E60" s="87">
        <v>7.9600000000000001E-3</v>
      </c>
      <c r="F60" s="87">
        <v>0.02</v>
      </c>
      <c r="G60" s="110">
        <f>C60*1*(D60*B37)+(B36*E60)+(B38*F60)</f>
        <v>4568.3261561999998</v>
      </c>
      <c r="H60" s="109">
        <f>G60/1.07^12</f>
        <v>2028.3914470650593</v>
      </c>
      <c r="I60" s="99"/>
    </row>
    <row r="61" spans="1:9" ht="15.75" x14ac:dyDescent="0.25">
      <c r="A61" s="285">
        <v>17</v>
      </c>
      <c r="B61" s="70">
        <v>2039</v>
      </c>
      <c r="C61" s="87">
        <v>3.304E-2</v>
      </c>
      <c r="D61" s="87">
        <v>4.9300000000000004E-3</v>
      </c>
      <c r="E61" s="87">
        <v>8.0000000000000002E-3</v>
      </c>
      <c r="F61" s="87">
        <v>2.0109999999999999E-2</v>
      </c>
      <c r="G61" s="110">
        <f>C61*1*(D61*B37)+(B36*E61)+(F61*B38)</f>
        <v>4604.3541412800005</v>
      </c>
      <c r="H61" s="109">
        <f>G61/1.07^13</f>
        <v>1910.6432741195572</v>
      </c>
      <c r="I61" s="99"/>
    </row>
    <row r="62" spans="1:9" ht="15.75" x14ac:dyDescent="0.25">
      <c r="A62" s="285">
        <v>18</v>
      </c>
      <c r="B62" s="70">
        <v>2040</v>
      </c>
      <c r="C62" s="87">
        <v>3.32E-2</v>
      </c>
      <c r="D62" s="87">
        <v>4.9500000000000004E-3</v>
      </c>
      <c r="E62" s="87">
        <v>8.0400000000000003E-3</v>
      </c>
      <c r="F62" s="87">
        <v>2.0199999999999999E-2</v>
      </c>
      <c r="G62" s="110">
        <f>C62*1*(B37*D62)+(E62*B36)+(F62*B38)</f>
        <v>4635.5223160000005</v>
      </c>
      <c r="H62" s="109">
        <f>G62/1.07^14</f>
        <v>1797.7354752653603</v>
      </c>
      <c r="I62" s="99"/>
    </row>
    <row r="63" spans="1:9" ht="15.75" x14ac:dyDescent="0.25">
      <c r="A63" s="285">
        <v>19</v>
      </c>
      <c r="B63" s="70">
        <v>2041</v>
      </c>
      <c r="C63" s="87">
        <v>3.3360000000000001E-2</v>
      </c>
      <c r="D63" s="87">
        <v>4.9800000000000001E-3</v>
      </c>
      <c r="E63" s="87">
        <v>8.0800000000000004E-3</v>
      </c>
      <c r="F63" s="87">
        <v>2.0299999999999999E-2</v>
      </c>
      <c r="G63" s="110">
        <f>C63*1*(B37*D63)+(E63*B36)+(F63*B38)</f>
        <v>4671.1012067199999</v>
      </c>
      <c r="H63" s="109">
        <f>G63/1.07^15</f>
        <v>1693.022039722287</v>
      </c>
      <c r="I63" s="99"/>
    </row>
    <row r="64" spans="1:9" ht="15.75" x14ac:dyDescent="0.25">
      <c r="A64" s="285">
        <v>20</v>
      </c>
      <c r="B64" s="70">
        <v>2042</v>
      </c>
      <c r="C64" s="87">
        <v>3.3509999999999998E-2</v>
      </c>
      <c r="D64" s="87">
        <v>5.0000000000000001E-3</v>
      </c>
      <c r="E64" s="87">
        <v>8.1200000000000005E-3</v>
      </c>
      <c r="F64" s="87">
        <v>2.0400000000000001E-2</v>
      </c>
      <c r="G64" s="110">
        <f>C64*1*(D64*B37)+(E64*B36)+(B38*F64)</f>
        <v>4701.8583699999999</v>
      </c>
      <c r="H64" s="109">
        <f>G64/1.07^16</f>
        <v>1592.6821038585172</v>
      </c>
      <c r="I64" s="99"/>
    </row>
    <row r="65" spans="1:9" ht="15.75" x14ac:dyDescent="0.25">
      <c r="A65" s="285">
        <v>21</v>
      </c>
      <c r="B65" s="70">
        <v>2043</v>
      </c>
      <c r="C65" s="87">
        <v>3.3669999999999999E-2</v>
      </c>
      <c r="D65" s="87">
        <v>5.0200000000000002E-3</v>
      </c>
      <c r="E65" s="87">
        <v>8.1600000000000006E-3</v>
      </c>
      <c r="F65" s="87">
        <v>2.0490000000000001E-2</v>
      </c>
      <c r="G65" s="110">
        <f>C65*1*(D65*B37)+(E65*B36)+(F65*B38)</f>
        <v>4733.2909951600004</v>
      </c>
      <c r="H65" s="109">
        <f>G65/1.07^17</f>
        <v>1498.4387116820385</v>
      </c>
      <c r="I65" s="99"/>
    </row>
    <row r="66" spans="1:9" ht="15.75" x14ac:dyDescent="0.25">
      <c r="A66" s="285">
        <v>22</v>
      </c>
      <c r="B66" s="70">
        <v>2044</v>
      </c>
      <c r="C66" s="87">
        <v>3.3829999999999999E-2</v>
      </c>
      <c r="D66" s="87">
        <v>5.0499999999999998E-3</v>
      </c>
      <c r="E66" s="87">
        <v>8.2000000000000007E-3</v>
      </c>
      <c r="F66" s="87">
        <v>2.0590000000000001E-2</v>
      </c>
      <c r="G66" s="110">
        <f>C66*1*(D66*B37)+(E66*B36)+(F66*B38)</f>
        <v>4769.1946721000004</v>
      </c>
      <c r="H66" s="109">
        <f>G66/1.07^18</f>
        <v>1411.0326133876067</v>
      </c>
      <c r="I66" s="99"/>
    </row>
    <row r="67" spans="1:9" ht="15.75" x14ac:dyDescent="0.25">
      <c r="A67" s="285">
        <v>23</v>
      </c>
      <c r="B67" s="70">
        <v>2045</v>
      </c>
      <c r="C67" s="87">
        <v>3.4000000000000002E-2</v>
      </c>
      <c r="D67" s="87">
        <v>5.0699999999999999E-3</v>
      </c>
      <c r="E67" s="87">
        <v>8.2400000000000008E-3</v>
      </c>
      <c r="F67" s="87">
        <v>2.069E-2</v>
      </c>
      <c r="G67" s="110">
        <f>C67*1*(D67*B37)+(B36*E67)+(F67*B38)</f>
        <v>4801.5090120000004</v>
      </c>
      <c r="H67" s="109">
        <f>G67/1.07^19</f>
        <v>1327.6572528446429</v>
      </c>
      <c r="I67" s="99"/>
    </row>
    <row r="68" spans="1:9" ht="16.5" thickBot="1" x14ac:dyDescent="0.3">
      <c r="A68" s="285">
        <v>24</v>
      </c>
      <c r="B68" s="70">
        <v>2046</v>
      </c>
      <c r="C68" s="87">
        <v>3.4160000000000003E-2</v>
      </c>
      <c r="D68" s="87">
        <v>5.1000000000000004E-3</v>
      </c>
      <c r="E68" s="87">
        <v>8.2699999999999996E-3</v>
      </c>
      <c r="F68" s="91">
        <v>2.0789999999999999E-2</v>
      </c>
      <c r="G68" s="115">
        <f>C68*1*(B37*D68)+(E68*B36)+(F68*B38)</f>
        <v>4834.6164784000002</v>
      </c>
      <c r="H68" s="115">
        <f>G68/1.07^20</f>
        <v>1249.3567693356256</v>
      </c>
      <c r="I68" s="99"/>
    </row>
    <row r="69" spans="1:9" ht="16.5" thickBot="1" x14ac:dyDescent="0.3">
      <c r="A69" s="337" t="s">
        <v>604</v>
      </c>
      <c r="B69" s="333"/>
      <c r="C69" s="333"/>
      <c r="D69" s="333"/>
      <c r="E69" s="333"/>
      <c r="F69" s="94"/>
      <c r="G69" s="111">
        <f>SUM(G48:G68)</f>
        <v>90546.678109140004</v>
      </c>
      <c r="H69" s="116"/>
      <c r="I69" s="99"/>
    </row>
    <row r="70" spans="1:9" ht="15.75" x14ac:dyDescent="0.25">
      <c r="A70" s="328" t="s">
        <v>609</v>
      </c>
      <c r="B70" s="329"/>
      <c r="C70" s="329"/>
      <c r="D70" s="329"/>
      <c r="E70" s="329"/>
      <c r="F70" s="112"/>
      <c r="G70" s="113"/>
      <c r="H70" s="114">
        <f>SUM(H44:H68)</f>
        <v>47228.642574979174</v>
      </c>
      <c r="I70" s="97"/>
    </row>
    <row r="71" spans="1:9" x14ac:dyDescent="0.25">
      <c r="A71" s="232" t="s">
        <v>645</v>
      </c>
    </row>
    <row r="73" spans="1:9" ht="15.75" thickBot="1" x14ac:dyDescent="0.3"/>
    <row r="74" spans="1:9" ht="15.75" thickBot="1" x14ac:dyDescent="0.3">
      <c r="A74" s="227" t="s">
        <v>750</v>
      </c>
      <c r="B74" s="228"/>
      <c r="C74" s="228"/>
      <c r="D74" s="229"/>
    </row>
    <row r="75" spans="1:9" x14ac:dyDescent="0.25">
      <c r="A75" s="209" t="s">
        <v>751</v>
      </c>
      <c r="B75" s="225"/>
      <c r="C75" s="225"/>
      <c r="D75" s="230">
        <f>G69+G29</f>
        <v>207684.02172487997</v>
      </c>
    </row>
    <row r="76" spans="1:9" ht="15.75" thickBot="1" x14ac:dyDescent="0.3">
      <c r="A76" s="52" t="s">
        <v>752</v>
      </c>
      <c r="B76" s="53"/>
      <c r="C76" s="53"/>
      <c r="D76" s="231">
        <f>H70+H30</f>
        <v>107204.86660707102</v>
      </c>
    </row>
  </sheetData>
  <mergeCells count="7">
    <mergeCell ref="A1:H1"/>
    <mergeCell ref="A70:E70"/>
    <mergeCell ref="A29:E29"/>
    <mergeCell ref="A30:E30"/>
    <mergeCell ref="A42:H42"/>
    <mergeCell ref="A69:E69"/>
    <mergeCell ref="A2:H2"/>
  </mergeCells>
  <pageMargins left="0.7" right="0.7" top="0.75" bottom="0.75" header="0.3" footer="0.3"/>
  <pageSetup scale="7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E7873-6492-44B7-9A9E-A6DC4B4DCE0C}">
  <sheetPr>
    <pageSetUpPr fitToPage="1"/>
  </sheetPr>
  <dimension ref="A1:N15"/>
  <sheetViews>
    <sheetView workbookViewId="0">
      <selection activeCell="I26" sqref="I26"/>
    </sheetView>
  </sheetViews>
  <sheetFormatPr defaultRowHeight="15" x14ac:dyDescent="0.25"/>
  <cols>
    <col min="1" max="1" width="13.85546875" customWidth="1"/>
  </cols>
  <sheetData>
    <row r="1" spans="1:14" x14ac:dyDescent="0.25">
      <c r="A1" t="s">
        <v>770</v>
      </c>
    </row>
    <row r="2" spans="1:14" x14ac:dyDescent="0.25">
      <c r="A2" s="258" t="s">
        <v>768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</row>
    <row r="3" spans="1:14" x14ac:dyDescent="0.25">
      <c r="A3" s="278" t="s">
        <v>574</v>
      </c>
      <c r="B3" s="278" t="s">
        <v>587</v>
      </c>
      <c r="C3" s="278">
        <v>2023</v>
      </c>
      <c r="D3" s="278">
        <v>2024</v>
      </c>
      <c r="E3" s="278">
        <v>2025</v>
      </c>
      <c r="F3" s="278">
        <v>2026</v>
      </c>
      <c r="G3" s="278">
        <v>2027</v>
      </c>
      <c r="H3" s="278">
        <v>2028</v>
      </c>
      <c r="I3" s="278">
        <v>2029</v>
      </c>
      <c r="J3" s="278">
        <v>2030</v>
      </c>
      <c r="K3" s="278">
        <v>2031</v>
      </c>
      <c r="L3" s="278">
        <v>2032</v>
      </c>
      <c r="M3" s="278">
        <v>2033</v>
      </c>
      <c r="N3" s="278">
        <v>2034</v>
      </c>
    </row>
    <row r="4" spans="1:14" x14ac:dyDescent="0.25">
      <c r="A4" t="s">
        <v>767</v>
      </c>
      <c r="B4">
        <f>7820</f>
        <v>7820</v>
      </c>
      <c r="C4" s="4">
        <f>(B4*0.054)+7820</f>
        <v>8242.2800000000007</v>
      </c>
      <c r="D4" s="4">
        <f>(C4*0.054)+C4</f>
        <v>8687.36312</v>
      </c>
      <c r="E4" s="4">
        <f>(D4*0.054)+D4</f>
        <v>9156.4807284800008</v>
      </c>
      <c r="F4" s="4">
        <f>(E4*0.054)+E4</f>
        <v>9650.9306878179214</v>
      </c>
      <c r="G4" s="4">
        <f t="shared" ref="G4:M4" si="0">(F4*0.054)+F4</f>
        <v>10172.080944960089</v>
      </c>
      <c r="H4" s="4">
        <f t="shared" si="0"/>
        <v>10721.373315987934</v>
      </c>
      <c r="I4" s="4">
        <f t="shared" si="0"/>
        <v>11300.327475051283</v>
      </c>
      <c r="J4" s="4">
        <f t="shared" si="0"/>
        <v>11910.545158704052</v>
      </c>
      <c r="K4" s="4">
        <f t="shared" si="0"/>
        <v>12553.714597274071</v>
      </c>
      <c r="L4" s="4">
        <f t="shared" si="0"/>
        <v>13231.615185526871</v>
      </c>
      <c r="M4" s="4">
        <f t="shared" si="0"/>
        <v>13946.122405545322</v>
      </c>
      <c r="N4" s="4">
        <f>(M4*0.054)+M4</f>
        <v>14699.21301544477</v>
      </c>
    </row>
    <row r="6" spans="1:14" x14ac:dyDescent="0.25">
      <c r="A6" s="278" t="s">
        <v>574</v>
      </c>
      <c r="B6" s="278">
        <v>2035</v>
      </c>
      <c r="C6" s="278">
        <v>2036</v>
      </c>
      <c r="D6" s="278">
        <v>2037</v>
      </c>
      <c r="E6" s="278">
        <v>2038</v>
      </c>
      <c r="F6" s="278">
        <v>2039</v>
      </c>
      <c r="G6" s="278">
        <v>2040</v>
      </c>
      <c r="H6" s="278">
        <v>2041</v>
      </c>
      <c r="I6" s="278">
        <v>2042</v>
      </c>
      <c r="J6" s="278">
        <v>2043</v>
      </c>
      <c r="K6" s="278">
        <v>2044</v>
      </c>
      <c r="L6" s="278">
        <v>2045</v>
      </c>
      <c r="M6" s="278">
        <v>2046</v>
      </c>
      <c r="N6" s="279"/>
    </row>
    <row r="7" spans="1:14" x14ac:dyDescent="0.25">
      <c r="A7" t="s">
        <v>767</v>
      </c>
      <c r="B7" s="4">
        <f>(N4*0.054)+N4</f>
        <v>15492.970518278787</v>
      </c>
      <c r="C7" s="4">
        <f t="shared" ref="C7:M7" si="1">(B7*0.054)+B7</f>
        <v>16329.590926265842</v>
      </c>
      <c r="D7" s="4">
        <f t="shared" si="1"/>
        <v>17211.388836284197</v>
      </c>
      <c r="E7" s="4">
        <f t="shared" si="1"/>
        <v>18140.803833443544</v>
      </c>
      <c r="F7" s="4">
        <f t="shared" si="1"/>
        <v>19120.407240449495</v>
      </c>
      <c r="G7" s="4">
        <f t="shared" si="1"/>
        <v>20152.909231433769</v>
      </c>
      <c r="H7" s="4">
        <f t="shared" si="1"/>
        <v>21241.166329931191</v>
      </c>
      <c r="I7" s="4">
        <f t="shared" si="1"/>
        <v>22388.189311747476</v>
      </c>
      <c r="J7" s="4">
        <f t="shared" si="1"/>
        <v>23597.151534581841</v>
      </c>
      <c r="K7" s="4">
        <f t="shared" si="1"/>
        <v>24871.397717449261</v>
      </c>
      <c r="L7" s="4">
        <f t="shared" si="1"/>
        <v>26214.453194191519</v>
      </c>
      <c r="M7" s="4">
        <f t="shared" si="1"/>
        <v>27630.03366667786</v>
      </c>
      <c r="N7" s="280"/>
    </row>
    <row r="8" spans="1:14" x14ac:dyDescent="0.25">
      <c r="C8" s="4"/>
      <c r="D8" s="4"/>
      <c r="E8" s="4"/>
      <c r="F8" s="4"/>
      <c r="G8" s="4"/>
    </row>
    <row r="9" spans="1:14" x14ac:dyDescent="0.25">
      <c r="A9" s="258" t="s">
        <v>769</v>
      </c>
      <c r="B9" s="25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</row>
    <row r="10" spans="1:14" x14ac:dyDescent="0.25">
      <c r="A10" s="278" t="s">
        <v>766</v>
      </c>
      <c r="B10" s="278" t="s">
        <v>587</v>
      </c>
      <c r="C10" s="278">
        <v>2023</v>
      </c>
      <c r="D10" s="278">
        <v>2024</v>
      </c>
      <c r="E10" s="278">
        <v>2025</v>
      </c>
      <c r="F10" s="278">
        <v>2026</v>
      </c>
      <c r="G10" s="278">
        <v>2027</v>
      </c>
      <c r="H10" s="278">
        <v>2028</v>
      </c>
      <c r="I10" s="278">
        <v>2029</v>
      </c>
      <c r="J10" s="278">
        <v>2030</v>
      </c>
      <c r="K10" s="278">
        <v>2031</v>
      </c>
      <c r="L10" s="278">
        <v>2032</v>
      </c>
      <c r="M10" s="278">
        <v>2033</v>
      </c>
      <c r="N10" s="278">
        <v>2034</v>
      </c>
    </row>
    <row r="11" spans="1:14" x14ac:dyDescent="0.25">
      <c r="A11" t="s">
        <v>767</v>
      </c>
      <c r="B11">
        <v>350</v>
      </c>
      <c r="C11" s="4">
        <f>(B11*0.02)+B11</f>
        <v>357</v>
      </c>
      <c r="D11" s="4">
        <f t="shared" ref="D11:N11" si="2">(C11*0.02)+C11</f>
        <v>364.14</v>
      </c>
      <c r="E11" s="4">
        <f t="shared" si="2"/>
        <v>371.4228</v>
      </c>
      <c r="F11" s="4">
        <f t="shared" si="2"/>
        <v>378.85125599999998</v>
      </c>
      <c r="G11" s="4">
        <f t="shared" si="2"/>
        <v>386.42828111999995</v>
      </c>
      <c r="H11" s="4">
        <f t="shared" si="2"/>
        <v>394.15684674239998</v>
      </c>
      <c r="I11" s="4">
        <f t="shared" si="2"/>
        <v>402.03998367724796</v>
      </c>
      <c r="J11" s="4">
        <f t="shared" si="2"/>
        <v>410.0807833507929</v>
      </c>
      <c r="K11" s="4">
        <f t="shared" si="2"/>
        <v>418.28239901780876</v>
      </c>
      <c r="L11" s="4">
        <f t="shared" si="2"/>
        <v>426.64804699816494</v>
      </c>
      <c r="M11" s="4">
        <f t="shared" si="2"/>
        <v>435.18100793812823</v>
      </c>
      <c r="N11" s="4">
        <f t="shared" si="2"/>
        <v>443.88462809689082</v>
      </c>
    </row>
    <row r="13" spans="1:14" x14ac:dyDescent="0.25">
      <c r="A13" s="278" t="s">
        <v>574</v>
      </c>
      <c r="B13" s="278">
        <v>2035</v>
      </c>
      <c r="C13" s="278">
        <v>2036</v>
      </c>
      <c r="D13" s="278">
        <v>2037</v>
      </c>
      <c r="E13" s="278">
        <v>2038</v>
      </c>
      <c r="F13" s="278">
        <v>2039</v>
      </c>
      <c r="G13" s="278">
        <v>2040</v>
      </c>
      <c r="H13" s="278">
        <v>2041</v>
      </c>
      <c r="I13" s="278">
        <v>2042</v>
      </c>
      <c r="J13" s="278">
        <v>2043</v>
      </c>
      <c r="K13" s="278">
        <v>2044</v>
      </c>
      <c r="L13" s="278">
        <v>2045</v>
      </c>
      <c r="M13" s="278">
        <v>2046</v>
      </c>
      <c r="N13" s="279"/>
    </row>
    <row r="14" spans="1:14" x14ac:dyDescent="0.25">
      <c r="A14" t="s">
        <v>767</v>
      </c>
      <c r="B14" s="4">
        <f>(N11*0.02)+N11</f>
        <v>452.76232065882863</v>
      </c>
      <c r="C14" s="4">
        <f t="shared" ref="C14:J14" si="3">(B14*0.02)+B14</f>
        <v>461.8175670720052</v>
      </c>
      <c r="D14" s="4">
        <f t="shared" si="3"/>
        <v>471.05391841344533</v>
      </c>
      <c r="E14" s="4">
        <f t="shared" si="3"/>
        <v>480.47499678171425</v>
      </c>
      <c r="F14" s="4">
        <f t="shared" si="3"/>
        <v>490.08449671734854</v>
      </c>
      <c r="G14" s="4">
        <f t="shared" si="3"/>
        <v>499.88618665169554</v>
      </c>
      <c r="H14" s="4">
        <f t="shared" si="3"/>
        <v>509.88391038472946</v>
      </c>
      <c r="I14" s="4">
        <f t="shared" si="3"/>
        <v>520.08158859242405</v>
      </c>
      <c r="J14" s="4">
        <f t="shared" si="3"/>
        <v>530.48322036427248</v>
      </c>
      <c r="K14" s="4">
        <f t="shared" ref="K14:L14" si="4">(J14*0.02)+J14</f>
        <v>541.09288477155792</v>
      </c>
      <c r="L14" s="4">
        <f t="shared" si="4"/>
        <v>551.91474246698908</v>
      </c>
      <c r="M14" s="4">
        <f>(L14*0.02)+L14</f>
        <v>562.95303731632885</v>
      </c>
      <c r="N14" s="280"/>
    </row>
    <row r="15" spans="1:14" x14ac:dyDescent="0.25">
      <c r="N15" s="280"/>
    </row>
  </sheetData>
  <pageMargins left="0.7" right="0.7" top="0.75" bottom="0.75" header="0.3" footer="0.3"/>
  <pageSetup scale="6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6BA75-6C87-4EAA-B2EB-7C0986B32A0B}">
  <dimension ref="A1:G33"/>
  <sheetViews>
    <sheetView workbookViewId="0">
      <selection activeCell="E46" sqref="E46"/>
    </sheetView>
  </sheetViews>
  <sheetFormatPr defaultRowHeight="15" x14ac:dyDescent="0.25"/>
  <cols>
    <col min="1" max="1" width="5" customWidth="1"/>
    <col min="2" max="2" width="18.85546875" bestFit="1" customWidth="1"/>
    <col min="3" max="3" width="9.85546875" bestFit="1" customWidth="1"/>
    <col min="4" max="4" width="12" customWidth="1"/>
    <col min="5" max="5" width="15" bestFit="1" customWidth="1"/>
    <col min="6" max="6" width="14.85546875" customWidth="1"/>
  </cols>
  <sheetData>
    <row r="1" spans="1:7" ht="16.5" thickBot="1" x14ac:dyDescent="0.3">
      <c r="A1" s="68" t="s">
        <v>753</v>
      </c>
      <c r="B1" s="68"/>
      <c r="C1" s="68"/>
      <c r="D1" s="68"/>
      <c r="E1" s="68"/>
      <c r="F1" s="68"/>
      <c r="G1" s="68"/>
    </row>
    <row r="2" spans="1:7" ht="15.75" x14ac:dyDescent="0.25">
      <c r="A2" s="344" t="s">
        <v>774</v>
      </c>
      <c r="B2" s="345"/>
      <c r="C2" s="345"/>
      <c r="D2" s="345"/>
      <c r="E2" s="345"/>
      <c r="F2" s="346"/>
      <c r="G2" s="68"/>
    </row>
    <row r="3" spans="1:7" ht="63" x14ac:dyDescent="0.25">
      <c r="A3" s="82" t="s">
        <v>574</v>
      </c>
      <c r="B3" s="83" t="s">
        <v>1</v>
      </c>
      <c r="C3" s="83" t="s">
        <v>575</v>
      </c>
      <c r="D3" s="83" t="s">
        <v>576</v>
      </c>
      <c r="E3" s="83" t="s">
        <v>577</v>
      </c>
      <c r="F3" s="84" t="s">
        <v>633</v>
      </c>
      <c r="G3" s="68"/>
    </row>
    <row r="4" spans="1:7" ht="15.75" x14ac:dyDescent="0.25">
      <c r="A4" s="284">
        <v>0</v>
      </c>
      <c r="B4" s="73">
        <v>2022</v>
      </c>
      <c r="C4" s="74">
        <v>30000</v>
      </c>
      <c r="D4" s="74">
        <f>8500+8500</f>
        <v>17000</v>
      </c>
      <c r="E4" s="79">
        <v>0</v>
      </c>
      <c r="F4" s="80">
        <v>0</v>
      </c>
      <c r="G4" s="68"/>
    </row>
    <row r="5" spans="1:7" ht="15.75" x14ac:dyDescent="0.25">
      <c r="A5" s="284">
        <v>1</v>
      </c>
      <c r="B5" s="73">
        <v>2023</v>
      </c>
      <c r="C5" s="74">
        <v>30000</v>
      </c>
      <c r="D5" s="74">
        <f t="shared" ref="D5:D28" si="0">8500+8500</f>
        <v>17000</v>
      </c>
      <c r="E5" s="79">
        <v>0</v>
      </c>
      <c r="F5" s="80">
        <v>0</v>
      </c>
      <c r="G5" s="68"/>
    </row>
    <row r="6" spans="1:7" ht="15.75" x14ac:dyDescent="0.25">
      <c r="A6" s="284">
        <v>2</v>
      </c>
      <c r="B6" s="73" t="s">
        <v>578</v>
      </c>
      <c r="C6" s="74">
        <v>30000</v>
      </c>
      <c r="D6" s="74">
        <f t="shared" si="0"/>
        <v>17000</v>
      </c>
      <c r="E6" s="79">
        <v>0</v>
      </c>
      <c r="F6" s="80">
        <v>0</v>
      </c>
      <c r="G6" s="68"/>
    </row>
    <row r="7" spans="1:7" ht="15.75" x14ac:dyDescent="0.25">
      <c r="A7" s="284">
        <v>3</v>
      </c>
      <c r="B7" s="73" t="s">
        <v>579</v>
      </c>
      <c r="C7" s="74">
        <v>30000</v>
      </c>
      <c r="D7" s="74">
        <f t="shared" si="0"/>
        <v>17000</v>
      </c>
      <c r="E7" s="79">
        <v>0</v>
      </c>
      <c r="F7" s="80">
        <v>0</v>
      </c>
      <c r="G7" s="68"/>
    </row>
    <row r="8" spans="1:7" ht="15.75" x14ac:dyDescent="0.25">
      <c r="A8" s="284">
        <v>4</v>
      </c>
      <c r="B8" s="73" t="s">
        <v>580</v>
      </c>
      <c r="C8" s="74">
        <v>30000</v>
      </c>
      <c r="D8" s="74">
        <f t="shared" si="0"/>
        <v>17000</v>
      </c>
      <c r="E8" s="79">
        <v>0</v>
      </c>
      <c r="F8" s="80">
        <v>0</v>
      </c>
      <c r="G8" s="68"/>
    </row>
    <row r="9" spans="1:7" ht="15.75" x14ac:dyDescent="0.25">
      <c r="A9" s="284">
        <v>5</v>
      </c>
      <c r="B9" s="73">
        <v>2027</v>
      </c>
      <c r="C9" s="74">
        <v>30000</v>
      </c>
      <c r="D9" s="74">
        <f t="shared" si="0"/>
        <v>17000</v>
      </c>
      <c r="E9" s="81">
        <f>C9+D9</f>
        <v>47000</v>
      </c>
      <c r="F9" s="80">
        <f>E9/1.07</f>
        <v>43925.233644859807</v>
      </c>
      <c r="G9" s="68"/>
    </row>
    <row r="10" spans="1:7" ht="15.75" x14ac:dyDescent="0.25">
      <c r="A10" s="284">
        <v>6</v>
      </c>
      <c r="B10" s="75">
        <v>2028</v>
      </c>
      <c r="C10" s="74">
        <v>30000</v>
      </c>
      <c r="D10" s="74">
        <f t="shared" si="0"/>
        <v>17000</v>
      </c>
      <c r="E10" s="81">
        <f t="shared" ref="E10:E28" si="1">C10+D10</f>
        <v>47000</v>
      </c>
      <c r="F10" s="80">
        <f>E10/1.07^2</f>
        <v>41051.620228840948</v>
      </c>
      <c r="G10" s="68"/>
    </row>
    <row r="11" spans="1:7" ht="15.75" x14ac:dyDescent="0.25">
      <c r="A11" s="284">
        <v>7</v>
      </c>
      <c r="B11" s="75">
        <v>2029</v>
      </c>
      <c r="C11" s="74">
        <v>30000</v>
      </c>
      <c r="D11" s="74">
        <f t="shared" si="0"/>
        <v>17000</v>
      </c>
      <c r="E11" s="81">
        <f t="shared" si="1"/>
        <v>47000</v>
      </c>
      <c r="F11" s="80">
        <f>E11/1.07^3</f>
        <v>38366.000213870044</v>
      </c>
      <c r="G11" s="68"/>
    </row>
    <row r="12" spans="1:7" ht="15.75" x14ac:dyDescent="0.25">
      <c r="A12" s="284">
        <v>8</v>
      </c>
      <c r="B12" s="75">
        <v>2030</v>
      </c>
      <c r="C12" s="74">
        <v>30000</v>
      </c>
      <c r="D12" s="74">
        <f t="shared" si="0"/>
        <v>17000</v>
      </c>
      <c r="E12" s="81">
        <f t="shared" si="1"/>
        <v>47000</v>
      </c>
      <c r="F12" s="80">
        <f>E12/1.07^4</f>
        <v>35856.074966233682</v>
      </c>
      <c r="G12" s="68"/>
    </row>
    <row r="13" spans="1:7" ht="15.75" x14ac:dyDescent="0.25">
      <c r="A13" s="284">
        <v>9</v>
      </c>
      <c r="B13" s="75">
        <v>2031</v>
      </c>
      <c r="C13" s="74">
        <v>30000</v>
      </c>
      <c r="D13" s="74">
        <f t="shared" si="0"/>
        <v>17000</v>
      </c>
      <c r="E13" s="81">
        <f t="shared" si="1"/>
        <v>47000</v>
      </c>
      <c r="F13" s="80">
        <f>E13/1.07^5</f>
        <v>33510.350435732413</v>
      </c>
      <c r="G13" s="68"/>
    </row>
    <row r="14" spans="1:7" ht="15.75" x14ac:dyDescent="0.25">
      <c r="A14" s="284">
        <v>10</v>
      </c>
      <c r="B14" s="75">
        <v>2032</v>
      </c>
      <c r="C14" s="74">
        <v>30000</v>
      </c>
      <c r="D14" s="74">
        <f t="shared" si="0"/>
        <v>17000</v>
      </c>
      <c r="E14" s="81">
        <f t="shared" si="1"/>
        <v>47000</v>
      </c>
      <c r="F14" s="80">
        <f>E14/1.07^6</f>
        <v>31318.084519376091</v>
      </c>
      <c r="G14" s="68"/>
    </row>
    <row r="15" spans="1:7" ht="15.75" x14ac:dyDescent="0.25">
      <c r="A15" s="284">
        <v>11</v>
      </c>
      <c r="B15" s="75">
        <v>2033</v>
      </c>
      <c r="C15" s="74">
        <v>30000</v>
      </c>
      <c r="D15" s="74">
        <f t="shared" si="0"/>
        <v>17000</v>
      </c>
      <c r="E15" s="81">
        <f t="shared" si="1"/>
        <v>47000</v>
      </c>
      <c r="F15" s="80">
        <f>E15/1.07^7</f>
        <v>29269.237868575783</v>
      </c>
      <c r="G15" s="68"/>
    </row>
    <row r="16" spans="1:7" ht="15.75" x14ac:dyDescent="0.25">
      <c r="A16" s="284">
        <v>12</v>
      </c>
      <c r="B16" s="75">
        <v>2034</v>
      </c>
      <c r="C16" s="74">
        <v>30000</v>
      </c>
      <c r="D16" s="74">
        <f t="shared" si="0"/>
        <v>17000</v>
      </c>
      <c r="E16" s="81">
        <f t="shared" si="1"/>
        <v>47000</v>
      </c>
      <c r="F16" s="80">
        <f>E16/1.07^8</f>
        <v>27354.427914556807</v>
      </c>
      <c r="G16" s="68"/>
    </row>
    <row r="17" spans="1:7" ht="15.75" x14ac:dyDescent="0.25">
      <c r="A17" s="284">
        <v>13</v>
      </c>
      <c r="B17" s="75">
        <v>2035</v>
      </c>
      <c r="C17" s="74">
        <v>30000</v>
      </c>
      <c r="D17" s="74">
        <f t="shared" si="0"/>
        <v>17000</v>
      </c>
      <c r="E17" s="81">
        <f t="shared" si="1"/>
        <v>47000</v>
      </c>
      <c r="F17" s="80">
        <f>E17/1.07^9</f>
        <v>25564.885901454956</v>
      </c>
      <c r="G17" s="68"/>
    </row>
    <row r="18" spans="1:7" ht="15.75" x14ac:dyDescent="0.25">
      <c r="A18" s="284">
        <v>14</v>
      </c>
      <c r="B18" s="75">
        <v>2036</v>
      </c>
      <c r="C18" s="74">
        <v>30000</v>
      </c>
      <c r="D18" s="74">
        <f t="shared" si="0"/>
        <v>17000</v>
      </c>
      <c r="E18" s="81">
        <f t="shared" si="1"/>
        <v>47000</v>
      </c>
      <c r="F18" s="80">
        <f>E18/1.07^10</f>
        <v>23892.416730331737</v>
      </c>
      <c r="G18" s="68"/>
    </row>
    <row r="19" spans="1:7" ht="15.75" x14ac:dyDescent="0.25">
      <c r="A19" s="284">
        <v>15</v>
      </c>
      <c r="B19" s="75">
        <v>2037</v>
      </c>
      <c r="C19" s="74">
        <v>30000</v>
      </c>
      <c r="D19" s="74">
        <f t="shared" si="0"/>
        <v>17000</v>
      </c>
      <c r="E19" s="81">
        <f t="shared" si="1"/>
        <v>47000</v>
      </c>
      <c r="F19" s="80">
        <f>E19/1.07^11</f>
        <v>22329.361430216573</v>
      </c>
      <c r="G19" s="68"/>
    </row>
    <row r="20" spans="1:7" ht="15.75" x14ac:dyDescent="0.25">
      <c r="A20" s="284">
        <v>16</v>
      </c>
      <c r="B20" s="75">
        <v>2038</v>
      </c>
      <c r="C20" s="74">
        <v>30000</v>
      </c>
      <c r="D20" s="74">
        <f t="shared" si="0"/>
        <v>17000</v>
      </c>
      <c r="E20" s="81">
        <f t="shared" si="1"/>
        <v>47000</v>
      </c>
      <c r="F20" s="80">
        <f>E20/1.07^12</f>
        <v>20868.562084314559</v>
      </c>
      <c r="G20" s="68"/>
    </row>
    <row r="21" spans="1:7" ht="15.75" x14ac:dyDescent="0.25">
      <c r="A21" s="284">
        <v>17</v>
      </c>
      <c r="B21" s="75">
        <v>2039</v>
      </c>
      <c r="C21" s="74">
        <v>30000</v>
      </c>
      <c r="D21" s="74">
        <f t="shared" si="0"/>
        <v>17000</v>
      </c>
      <c r="E21" s="81">
        <f t="shared" si="1"/>
        <v>47000</v>
      </c>
      <c r="F21" s="80">
        <f>E21/1.07^13</f>
        <v>19503.329050761269</v>
      </c>
      <c r="G21" s="68"/>
    </row>
    <row r="22" spans="1:7" ht="15.75" x14ac:dyDescent="0.25">
      <c r="A22" s="284">
        <v>18</v>
      </c>
      <c r="B22" s="75">
        <v>2040</v>
      </c>
      <c r="C22" s="74">
        <v>30000</v>
      </c>
      <c r="D22" s="74">
        <f t="shared" si="0"/>
        <v>17000</v>
      </c>
      <c r="E22" s="81">
        <f t="shared" si="1"/>
        <v>47000</v>
      </c>
      <c r="F22" s="80">
        <f>E22/1.07^14</f>
        <v>18227.410327814272</v>
      </c>
      <c r="G22" s="68"/>
    </row>
    <row r="23" spans="1:7" ht="15.75" x14ac:dyDescent="0.25">
      <c r="A23" s="284">
        <v>19</v>
      </c>
      <c r="B23" s="75">
        <v>2041</v>
      </c>
      <c r="C23" s="74">
        <v>30000</v>
      </c>
      <c r="D23" s="74">
        <f t="shared" si="0"/>
        <v>17000</v>
      </c>
      <c r="E23" s="81">
        <f t="shared" si="1"/>
        <v>47000</v>
      </c>
      <c r="F23" s="80">
        <f>E23/1.07^15</f>
        <v>17034.962923190906</v>
      </c>
      <c r="G23" s="68"/>
    </row>
    <row r="24" spans="1:7" ht="15.75" x14ac:dyDescent="0.25">
      <c r="A24" s="284">
        <v>20</v>
      </c>
      <c r="B24" s="75">
        <v>2042</v>
      </c>
      <c r="C24" s="74">
        <v>30000</v>
      </c>
      <c r="D24" s="74">
        <f t="shared" si="0"/>
        <v>17000</v>
      </c>
      <c r="E24" s="81">
        <f t="shared" si="1"/>
        <v>47000</v>
      </c>
      <c r="F24" s="80">
        <f>E24/1.07^16</f>
        <v>15920.5260964401</v>
      </c>
      <c r="G24" s="68"/>
    </row>
    <row r="25" spans="1:7" ht="15.75" x14ac:dyDescent="0.25">
      <c r="A25" s="284">
        <v>21</v>
      </c>
      <c r="B25" s="75">
        <v>2043</v>
      </c>
      <c r="C25" s="74">
        <v>30000</v>
      </c>
      <c r="D25" s="74">
        <v>17000</v>
      </c>
      <c r="E25" s="81">
        <f>C25+D25</f>
        <v>47000</v>
      </c>
      <c r="F25" s="80">
        <f>E25/1.07^17</f>
        <v>14878.996351813177</v>
      </c>
      <c r="G25" s="68"/>
    </row>
    <row r="26" spans="1:7" ht="15.75" x14ac:dyDescent="0.25">
      <c r="A26" s="284">
        <v>22</v>
      </c>
      <c r="B26" s="75">
        <v>2044</v>
      </c>
      <c r="C26" s="74">
        <v>30000</v>
      </c>
      <c r="D26" s="74">
        <v>17000</v>
      </c>
      <c r="E26" s="81">
        <f>C26+D26</f>
        <v>47000</v>
      </c>
      <c r="F26" s="80">
        <f>E26/1.07^19</f>
        <v>12995.891651509455</v>
      </c>
      <c r="G26" s="68"/>
    </row>
    <row r="27" spans="1:7" ht="15.75" x14ac:dyDescent="0.25">
      <c r="A27" s="284">
        <v>23</v>
      </c>
      <c r="B27" s="75">
        <v>2045</v>
      </c>
      <c r="C27" s="74">
        <v>30000</v>
      </c>
      <c r="D27" s="74">
        <v>17000</v>
      </c>
      <c r="E27" s="81">
        <f>C27+D27</f>
        <v>47000</v>
      </c>
      <c r="F27" s="80">
        <f>E27/1.07^19</f>
        <v>12995.891651509455</v>
      </c>
      <c r="G27" s="68"/>
    </row>
    <row r="28" spans="1:7" ht="16.5" thickBot="1" x14ac:dyDescent="0.3">
      <c r="A28" s="284">
        <v>24</v>
      </c>
      <c r="B28" s="75">
        <v>2046</v>
      </c>
      <c r="C28" s="74">
        <v>30000</v>
      </c>
      <c r="D28" s="74">
        <f t="shared" si="0"/>
        <v>17000</v>
      </c>
      <c r="E28" s="81">
        <f t="shared" si="1"/>
        <v>47000</v>
      </c>
      <c r="F28" s="80">
        <f>E28/1.07^20</f>
        <v>12145.693132251829</v>
      </c>
      <c r="G28" s="68"/>
    </row>
    <row r="29" spans="1:7" ht="16.5" thickBot="1" x14ac:dyDescent="0.3">
      <c r="A29" s="340" t="s">
        <v>581</v>
      </c>
      <c r="B29" s="341"/>
      <c r="C29" s="341"/>
      <c r="D29" s="341"/>
      <c r="E29" s="133">
        <f>SUM(E4:E28)</f>
        <v>940000</v>
      </c>
      <c r="F29" s="77"/>
      <c r="G29" s="68"/>
    </row>
    <row r="30" spans="1:7" ht="16.5" thickBot="1" x14ac:dyDescent="0.3">
      <c r="A30" s="342" t="s">
        <v>582</v>
      </c>
      <c r="B30" s="343"/>
      <c r="C30" s="343"/>
      <c r="D30" s="343"/>
      <c r="E30" s="78"/>
      <c r="F30" s="85">
        <f>SUM(F4:F29)</f>
        <v>497008.95712365391</v>
      </c>
      <c r="G30" s="68"/>
    </row>
    <row r="31" spans="1:7" ht="15.75" x14ac:dyDescent="0.25">
      <c r="A31" s="233" t="s">
        <v>634</v>
      </c>
      <c r="B31" s="68"/>
      <c r="C31" s="68"/>
      <c r="D31" s="68"/>
      <c r="E31" s="68"/>
      <c r="F31" s="68"/>
      <c r="G31" s="68"/>
    </row>
    <row r="32" spans="1:7" ht="15.75" x14ac:dyDescent="0.25">
      <c r="A32" s="68"/>
      <c r="B32" s="68"/>
      <c r="C32" s="68"/>
      <c r="D32" s="68"/>
      <c r="E32" s="68"/>
      <c r="F32" s="68"/>
      <c r="G32" s="68"/>
    </row>
    <row r="33" spans="1:7" ht="15.75" x14ac:dyDescent="0.25">
      <c r="A33" s="71"/>
      <c r="B33" s="71"/>
      <c r="C33" s="71"/>
      <c r="D33" s="71"/>
      <c r="E33" s="71"/>
      <c r="F33" s="71"/>
      <c r="G33" s="71"/>
    </row>
  </sheetData>
  <mergeCells count="3">
    <mergeCell ref="A29:D29"/>
    <mergeCell ref="A30:D30"/>
    <mergeCell ref="A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7"/>
  <sheetViews>
    <sheetView workbookViewId="0">
      <selection activeCell="F27" sqref="F27"/>
    </sheetView>
  </sheetViews>
  <sheetFormatPr defaultRowHeight="15" x14ac:dyDescent="0.25"/>
  <cols>
    <col min="1" max="1" width="39.42578125" customWidth="1"/>
    <col min="3" max="3" width="10.85546875" customWidth="1"/>
    <col min="4" max="4" width="12.85546875" customWidth="1"/>
    <col min="5" max="5" width="28.5703125" customWidth="1"/>
    <col min="6" max="6" width="19.140625" customWidth="1"/>
    <col min="7" max="7" width="17.85546875" customWidth="1"/>
    <col min="8" max="8" width="14.7109375" customWidth="1"/>
    <col min="9" max="9" width="17.140625" customWidth="1"/>
    <col min="10" max="10" width="13.42578125" bestFit="1" customWidth="1"/>
    <col min="11" max="11" width="11.7109375" bestFit="1" customWidth="1"/>
    <col min="12" max="12" width="11.28515625" bestFit="1" customWidth="1"/>
    <col min="13" max="13" width="15.85546875" bestFit="1" customWidth="1"/>
    <col min="14" max="14" width="17.85546875" customWidth="1"/>
    <col min="15" max="15" width="19.7109375" customWidth="1"/>
    <col min="16" max="16" width="19.140625" customWidth="1"/>
  </cols>
  <sheetData>
    <row r="1" spans="1:15" x14ac:dyDescent="0.25">
      <c r="A1" s="13" t="s">
        <v>735</v>
      </c>
      <c r="C1" s="169" t="s">
        <v>14</v>
      </c>
      <c r="D1" s="169" t="s">
        <v>15</v>
      </c>
      <c r="F1" s="26" t="s">
        <v>14</v>
      </c>
      <c r="G1" s="26" t="s">
        <v>15</v>
      </c>
      <c r="J1" s="258" t="s">
        <v>1</v>
      </c>
      <c r="K1" s="258" t="s">
        <v>2</v>
      </c>
      <c r="L1" s="258" t="s">
        <v>3</v>
      </c>
      <c r="M1" s="258" t="s">
        <v>4</v>
      </c>
    </row>
    <row r="2" spans="1:15" ht="17.25" x14ac:dyDescent="0.25">
      <c r="A2" t="s">
        <v>29</v>
      </c>
      <c r="B2" s="27">
        <v>10064</v>
      </c>
      <c r="C2" s="30">
        <v>28718.052378085489</v>
      </c>
      <c r="D2" s="30">
        <v>23856.607465382298</v>
      </c>
      <c r="E2" t="s">
        <v>32</v>
      </c>
      <c r="F2" s="30">
        <v>28718.052378085489</v>
      </c>
      <c r="G2" s="30">
        <v>23856.607465382298</v>
      </c>
      <c r="J2">
        <v>2022</v>
      </c>
      <c r="K2">
        <v>1</v>
      </c>
      <c r="L2" s="1">
        <v>0</v>
      </c>
      <c r="M2" s="1"/>
    </row>
    <row r="3" spans="1:15" ht="17.25" x14ac:dyDescent="0.25">
      <c r="A3" t="s">
        <v>30</v>
      </c>
      <c r="B3" s="27">
        <v>2149</v>
      </c>
      <c r="C3" s="32">
        <f>C2*(B3/B2)</f>
        <v>6132.2629730232238</v>
      </c>
      <c r="D3" s="32">
        <f>D2*(B3/B2)</f>
        <v>5094.1821783690939</v>
      </c>
      <c r="F3" s="26"/>
      <c r="G3" s="26"/>
      <c r="J3">
        <v>2023</v>
      </c>
      <c r="K3">
        <v>2</v>
      </c>
      <c r="L3" s="1">
        <v>0</v>
      </c>
      <c r="M3" s="1"/>
    </row>
    <row r="4" spans="1:15" ht="17.25" x14ac:dyDescent="0.25">
      <c r="A4" t="s">
        <v>31</v>
      </c>
      <c r="B4" s="27">
        <v>1140</v>
      </c>
      <c r="C4" s="32">
        <f>C2*(B4/B2)</f>
        <v>3253.03852454466</v>
      </c>
      <c r="D4" s="32">
        <f>D2*(B4/B2)</f>
        <v>2702.3581588370253</v>
      </c>
      <c r="F4" s="26"/>
      <c r="G4" s="26"/>
      <c r="J4">
        <v>2024</v>
      </c>
      <c r="K4">
        <v>3</v>
      </c>
      <c r="L4" s="1">
        <f>G23+I23</f>
        <v>1147709.9195699664</v>
      </c>
      <c r="M4" s="1">
        <f>L4/(1.07^2)</f>
        <v>1002454.2925757414</v>
      </c>
      <c r="N4" s="22"/>
      <c r="O4" s="22"/>
    </row>
    <row r="5" spans="1:15" x14ac:dyDescent="0.25">
      <c r="A5" t="s">
        <v>117</v>
      </c>
      <c r="B5" s="27">
        <f>B2-(B3+B4)</f>
        <v>6775</v>
      </c>
      <c r="C5" s="32">
        <f>C2-(C3+C4)</f>
        <v>19332.750880517604</v>
      </c>
      <c r="D5" s="32">
        <f>D2-(D3+D4)</f>
        <v>16060.067128176179</v>
      </c>
      <c r="F5" s="26" t="s">
        <v>14</v>
      </c>
      <c r="G5" s="26" t="s">
        <v>15</v>
      </c>
      <c r="J5">
        <v>2025</v>
      </c>
      <c r="K5">
        <v>4</v>
      </c>
      <c r="L5" s="1">
        <f>G23+(I23*2)</f>
        <v>1206961.7508591164</v>
      </c>
      <c r="M5" s="1">
        <f>L5/(1.07^3)</f>
        <v>985240.31471476215</v>
      </c>
      <c r="O5" s="22"/>
    </row>
    <row r="6" spans="1:15" x14ac:dyDescent="0.25">
      <c r="A6" t="s">
        <v>116</v>
      </c>
      <c r="B6" s="27">
        <v>0.11579</v>
      </c>
      <c r="E6" t="s">
        <v>125</v>
      </c>
      <c r="F6" s="26">
        <v>31600</v>
      </c>
      <c r="G6" s="26">
        <v>16900</v>
      </c>
      <c r="J6">
        <v>2026</v>
      </c>
      <c r="K6">
        <v>5</v>
      </c>
      <c r="L6" s="1">
        <f>$G$23+($I$23*3)</f>
        <v>1266213.5821482665</v>
      </c>
      <c r="M6" s="1">
        <f>L6/(1.07^4)</f>
        <v>965988.27925045823</v>
      </c>
      <c r="O6" s="22"/>
    </row>
    <row r="7" spans="1:15" x14ac:dyDescent="0.25">
      <c r="A7" t="s">
        <v>118</v>
      </c>
      <c r="B7" s="27">
        <f>B2/G6</f>
        <v>0.59550295857988167</v>
      </c>
      <c r="F7" s="26"/>
      <c r="G7" s="26"/>
      <c r="J7">
        <v>2027</v>
      </c>
      <c r="K7">
        <v>6</v>
      </c>
      <c r="L7" s="1">
        <f>$G$23+($I$23*4)</f>
        <v>1325465.4134374168</v>
      </c>
      <c r="M7" s="1">
        <f>L7/(1.07^5)</f>
        <v>945038.52116448467</v>
      </c>
      <c r="O7" s="22"/>
    </row>
    <row r="8" spans="1:15" x14ac:dyDescent="0.25">
      <c r="A8" t="s">
        <v>33</v>
      </c>
      <c r="B8">
        <v>1.6460109999999999</v>
      </c>
      <c r="E8" t="s">
        <v>113</v>
      </c>
      <c r="F8" s="31">
        <v>0.90879912588878131</v>
      </c>
      <c r="G8" s="26">
        <v>1.41</v>
      </c>
      <c r="J8">
        <v>2028</v>
      </c>
      <c r="K8">
        <v>7</v>
      </c>
      <c r="L8" s="1">
        <f>$G$23+($I$23*5)</f>
        <v>1384717.2447265671</v>
      </c>
      <c r="M8" s="1">
        <f>L8/(1.07^6)</f>
        <v>922695.56820817466</v>
      </c>
      <c r="O8" s="22"/>
    </row>
    <row r="9" spans="1:15" x14ac:dyDescent="0.25">
      <c r="A9" t="s">
        <v>127</v>
      </c>
      <c r="B9" s="11">
        <f>B8/(28.12/60)</f>
        <v>3.5121145092460879</v>
      </c>
      <c r="E9" t="s">
        <v>114</v>
      </c>
      <c r="F9" s="31" t="s">
        <v>119</v>
      </c>
      <c r="G9" s="26" t="s">
        <v>115</v>
      </c>
      <c r="J9">
        <v>2029</v>
      </c>
      <c r="K9">
        <v>8</v>
      </c>
      <c r="L9" s="1">
        <f>$G$23+($I$23*6)</f>
        <v>1443969.0760157171</v>
      </c>
      <c r="M9" s="1">
        <f>L9/(1.07^7)</f>
        <v>899231.36937811936</v>
      </c>
      <c r="O9" s="22"/>
    </row>
    <row r="10" spans="1:15" x14ac:dyDescent="0.25">
      <c r="A10" t="s">
        <v>128</v>
      </c>
      <c r="B10" s="11">
        <f>B8/(32.07/60)</f>
        <v>3.0795341440598691</v>
      </c>
      <c r="E10" t="s">
        <v>132</v>
      </c>
      <c r="F10" s="26" t="s">
        <v>131</v>
      </c>
      <c r="G10" s="26" t="s">
        <v>130</v>
      </c>
      <c r="J10">
        <v>2030</v>
      </c>
      <c r="K10">
        <v>9</v>
      </c>
      <c r="L10" s="1">
        <f>$G$23+($I$23*7)</f>
        <v>1503220.9073048672</v>
      </c>
      <c r="M10" s="1">
        <f>L10/(1.07^8)</f>
        <v>874888.25422395044</v>
      </c>
      <c r="O10" s="22"/>
    </row>
    <row r="11" spans="1:15" x14ac:dyDescent="0.25">
      <c r="A11" t="s">
        <v>122</v>
      </c>
      <c r="B11" s="11">
        <f>B8/(G11/60)</f>
        <v>3.3000000000000003</v>
      </c>
      <c r="E11" t="s">
        <v>133</v>
      </c>
      <c r="F11" s="31">
        <f>B14*0.8</f>
        <v>34.202825974025977</v>
      </c>
      <c r="G11" s="31">
        <f>B14*0.7</f>
        <v>29.927472727272725</v>
      </c>
      <c r="J11">
        <v>2031</v>
      </c>
      <c r="K11">
        <v>10</v>
      </c>
      <c r="L11" s="1">
        <f>$G$23+($I$23*8)</f>
        <v>1562472.7385940175</v>
      </c>
      <c r="M11" s="1">
        <f>L11/(1.07^9)</f>
        <v>849881.64438914706</v>
      </c>
      <c r="O11" s="22"/>
    </row>
    <row r="12" spans="1:15" x14ac:dyDescent="0.25">
      <c r="A12" t="s">
        <v>129</v>
      </c>
      <c r="B12" s="11">
        <f>B8/(F11/60)</f>
        <v>2.8874999999999993</v>
      </c>
      <c r="J12">
        <v>2032</v>
      </c>
      <c r="K12">
        <v>11</v>
      </c>
      <c r="L12" s="1">
        <f>$G$23+($I$23*9)</f>
        <v>1621724.5698831677</v>
      </c>
      <c r="M12" s="1">
        <f>L12/(1.07^10)</f>
        <v>824402.53713758802</v>
      </c>
      <c r="O12" s="22"/>
    </row>
    <row r="13" spans="1:15" ht="17.25" x14ac:dyDescent="0.25">
      <c r="A13" t="s">
        <v>120</v>
      </c>
      <c r="B13" s="11">
        <v>2.31</v>
      </c>
      <c r="F13" t="s">
        <v>12</v>
      </c>
      <c r="G13" t="s">
        <v>40</v>
      </c>
      <c r="H13" t="s">
        <v>7</v>
      </c>
      <c r="J13">
        <v>2033</v>
      </c>
      <c r="K13">
        <v>12</v>
      </c>
      <c r="L13" s="1">
        <f>$G$23+($I$23*10)</f>
        <v>1680976.4011723178</v>
      </c>
      <c r="M13" s="1">
        <f>L13/(1.07^11)</f>
        <v>798619.77909449814</v>
      </c>
      <c r="O13" s="22"/>
    </row>
    <row r="14" spans="1:15" ht="17.25" x14ac:dyDescent="0.25">
      <c r="A14" t="s">
        <v>121</v>
      </c>
      <c r="B14" s="11">
        <f>(B8/B13)*60</f>
        <v>42.753532467532466</v>
      </c>
      <c r="E14" t="s">
        <v>0</v>
      </c>
      <c r="F14">
        <v>17.8</v>
      </c>
      <c r="G14">
        <v>1.67</v>
      </c>
      <c r="H14">
        <f>G14*F14</f>
        <v>29.725999999999999</v>
      </c>
      <c r="I14">
        <f>H14*(1-B6)</f>
        <v>26.284026459999996</v>
      </c>
      <c r="J14">
        <v>2034</v>
      </c>
      <c r="K14">
        <v>13</v>
      </c>
      <c r="L14" s="1">
        <f>$G$23+($I$23*11)</f>
        <v>1740228.2324614679</v>
      </c>
      <c r="M14" s="1">
        <f>L14/(1.07^12)</f>
        <v>772682.14702125802</v>
      </c>
      <c r="O14" s="22"/>
    </row>
    <row r="15" spans="1:15" x14ac:dyDescent="0.25">
      <c r="A15" t="s">
        <v>126</v>
      </c>
      <c r="B15" s="11">
        <v>45</v>
      </c>
      <c r="J15">
        <v>2035</v>
      </c>
      <c r="K15">
        <v>14</v>
      </c>
      <c r="L15" s="1">
        <f>$G$23+($I$23*12)</f>
        <v>1799480.0637506181</v>
      </c>
      <c r="M15" s="1">
        <f>L15/(1.07^13)</f>
        <v>746720.25114070578</v>
      </c>
      <c r="O15" s="22"/>
    </row>
    <row r="16" spans="1:15" x14ac:dyDescent="0.25">
      <c r="E16" t="s">
        <v>150</v>
      </c>
      <c r="F16">
        <v>32</v>
      </c>
      <c r="G16">
        <v>1</v>
      </c>
      <c r="H16">
        <f>F16*G16</f>
        <v>32</v>
      </c>
      <c r="I16">
        <f>H16*0.1083</f>
        <v>3.4655999999999998</v>
      </c>
      <c r="J16">
        <v>2036</v>
      </c>
      <c r="K16">
        <v>15</v>
      </c>
      <c r="L16" s="1">
        <f>$G$23+($I$23*13)</f>
        <v>1858731.8950397684</v>
      </c>
      <c r="M16" s="1">
        <f>L16/(1.07^14)</f>
        <v>720848.27532522695</v>
      </c>
      <c r="O16" s="22"/>
    </row>
    <row r="17" spans="1:15" x14ac:dyDescent="0.25">
      <c r="A17" t="s">
        <v>135</v>
      </c>
      <c r="B17" s="32">
        <f>B2+(C19*2)</f>
        <v>11556.32419024684</v>
      </c>
      <c r="C17" s="169" t="s">
        <v>14</v>
      </c>
      <c r="D17" s="169" t="s">
        <v>15</v>
      </c>
      <c r="E17" t="s">
        <v>151</v>
      </c>
      <c r="F17">
        <v>33.6</v>
      </c>
      <c r="G17">
        <v>1</v>
      </c>
      <c r="H17">
        <v>33.6</v>
      </c>
      <c r="I17">
        <f>H17*0.0074</f>
        <v>0.24864000000000003</v>
      </c>
      <c r="J17">
        <v>2037</v>
      </c>
      <c r="K17">
        <v>16</v>
      </c>
      <c r="L17" s="1">
        <f>$G$23+($I$23*14)</f>
        <v>1917983.7263289185</v>
      </c>
      <c r="M17" s="1">
        <f>L17/(1.07^15)</f>
        <v>695165.56734673737</v>
      </c>
      <c r="O17" s="22"/>
    </row>
    <row r="18" spans="1:15" x14ac:dyDescent="0.25">
      <c r="B18" s="27" t="s">
        <v>8</v>
      </c>
      <c r="C18" s="27" t="s">
        <v>9</v>
      </c>
      <c r="D18" s="34" t="s">
        <v>9</v>
      </c>
      <c r="H18" t="s">
        <v>162</v>
      </c>
      <c r="I18">
        <f>SUM(I14:I17)</f>
        <v>29.998266459999996</v>
      </c>
      <c r="J18">
        <v>2038</v>
      </c>
      <c r="K18">
        <v>17</v>
      </c>
      <c r="L18" s="1">
        <f>$G$23+($I$23*15)</f>
        <v>1977235.5576180685</v>
      </c>
      <c r="M18" s="1">
        <f>L18/(1.07^16)</f>
        <v>669758.09135888831</v>
      </c>
      <c r="O18" s="22"/>
    </row>
    <row r="19" spans="1:15" x14ac:dyDescent="0.25">
      <c r="A19" t="s">
        <v>134</v>
      </c>
      <c r="B19" s="32">
        <f>C2-B2</f>
        <v>18654.052378085489</v>
      </c>
      <c r="C19" s="32">
        <f>B19/25</f>
        <v>746.16209512341959</v>
      </c>
      <c r="D19" s="32">
        <f>(D2-B2)/25</f>
        <v>551.70429861529192</v>
      </c>
      <c r="F19" s="300" t="s">
        <v>10</v>
      </c>
      <c r="G19" s="300"/>
      <c r="H19" s="300" t="s">
        <v>11</v>
      </c>
      <c r="I19" s="300"/>
      <c r="J19">
        <v>2039</v>
      </c>
      <c r="K19">
        <v>18</v>
      </c>
      <c r="L19" s="1">
        <f>$G$23+($I$23*16)</f>
        <v>2036487.3889072188</v>
      </c>
      <c r="M19" s="1">
        <f>L19/(1.07^17)</f>
        <v>644699.75383115001</v>
      </c>
      <c r="O19" s="22"/>
    </row>
    <row r="20" spans="1:15" x14ac:dyDescent="0.25">
      <c r="A20" t="s">
        <v>110</v>
      </c>
      <c r="B20" s="32">
        <f>(B4/B2)*B19</f>
        <v>2113.03852454466</v>
      </c>
      <c r="C20" s="32">
        <f>B20/25</f>
        <v>84.521540981786401</v>
      </c>
      <c r="D20" s="32">
        <f>(D4-B4)/25</f>
        <v>62.494326353481007</v>
      </c>
      <c r="F20" t="s">
        <v>6</v>
      </c>
      <c r="G20" t="s">
        <v>5</v>
      </c>
      <c r="H20" t="s">
        <v>6</v>
      </c>
      <c r="I20" t="s">
        <v>5</v>
      </c>
      <c r="J20">
        <v>2040</v>
      </c>
      <c r="K20">
        <v>19</v>
      </c>
      <c r="L20" s="1">
        <f>$G$23+($I$23*17)</f>
        <v>2095739.2201963691</v>
      </c>
      <c r="M20" s="1">
        <f>L20/(1.07^18)</f>
        <v>620053.61327607022</v>
      </c>
      <c r="O20" s="22"/>
    </row>
    <row r="21" spans="1:15" x14ac:dyDescent="0.25">
      <c r="A21" t="s">
        <v>158</v>
      </c>
      <c r="B21" s="32">
        <f>(B3/B2)*B19</f>
        <v>3983.2629730232234</v>
      </c>
      <c r="C21" s="32">
        <f>B21/25</f>
        <v>159.33051892092894</v>
      </c>
      <c r="D21" s="32">
        <f>(D3-B3)/25</f>
        <v>117.80728713476375</v>
      </c>
      <c r="E21" t="s">
        <v>124</v>
      </c>
      <c r="F21" s="2">
        <f>((B9-B10)*((B3+B4)+(D20+D21)))/60</f>
        <v>25.012529315064718</v>
      </c>
      <c r="G21" s="3">
        <f>(F21*I18)*365</f>
        <v>273871.36951963353</v>
      </c>
      <c r="H21" s="2">
        <f>((B9-B10)*((D20+D21)+((C20+C21)-((D20+D21))/2)))/60</f>
        <v>2.4080513671222166</v>
      </c>
      <c r="I21" s="3">
        <f>(H21*I18)*365</f>
        <v>26366.638794509327</v>
      </c>
      <c r="J21">
        <v>2041</v>
      </c>
      <c r="K21">
        <v>20</v>
      </c>
      <c r="L21" s="1">
        <f>$G$23+($I$23*18)</f>
        <v>2154991.0514855189</v>
      </c>
      <c r="M21" s="1">
        <f>L21/(1.07^19)</f>
        <v>595872.98329953698</v>
      </c>
      <c r="O21" s="22"/>
    </row>
    <row r="22" spans="1:15" x14ac:dyDescent="0.25">
      <c r="A22" t="s">
        <v>112</v>
      </c>
      <c r="B22" s="32">
        <f>B19-(B20+B21)</f>
        <v>12557.750880517606</v>
      </c>
      <c r="C22" s="32">
        <f>B22/25</f>
        <v>502.31003522070421</v>
      </c>
      <c r="D22" s="32">
        <f>(D5-B5)/25</f>
        <v>371.40268512704716</v>
      </c>
      <c r="E22" t="s">
        <v>123</v>
      </c>
      <c r="F22" s="2">
        <f>((B9-B12)*(B5+D22)/60)</f>
        <v>74.395780100759339</v>
      </c>
      <c r="G22" s="3">
        <f>(F22*I18)*365</f>
        <v>814586.71876118262</v>
      </c>
      <c r="H22" s="2">
        <f>((B11-B12)*(D22 +((C22-D22))/2))/60</f>
        <v>3.0033874761954023</v>
      </c>
      <c r="I22" s="3">
        <f>(H22*I18)*365</f>
        <v>32885.192494640847</v>
      </c>
      <c r="J22">
        <v>2042</v>
      </c>
      <c r="K22">
        <v>21</v>
      </c>
      <c r="L22" s="1">
        <f>$G$23+($I$23*19)</f>
        <v>2214242.8827746692</v>
      </c>
      <c r="M22" s="1">
        <f>L22/(1.07^20)</f>
        <v>572202.43775433593</v>
      </c>
      <c r="O22" s="22"/>
    </row>
    <row r="23" spans="1:15" x14ac:dyDescent="0.25">
      <c r="E23" t="s">
        <v>159</v>
      </c>
      <c r="F23" s="2">
        <f>SUM(F21:F22)</f>
        <v>99.40830941582405</v>
      </c>
      <c r="G23" s="3">
        <f>SUM(G21:G22)</f>
        <v>1088458.0882808161</v>
      </c>
      <c r="H23" s="2">
        <f>SUM(H21:H22)</f>
        <v>5.4114388433176188</v>
      </c>
      <c r="I23" s="3">
        <f>SUM(I21:I22)</f>
        <v>59251.83128915017</v>
      </c>
      <c r="J23">
        <v>2043</v>
      </c>
      <c r="K23">
        <v>22</v>
      </c>
      <c r="L23" s="1">
        <f>$G$23+($I$23*20)</f>
        <v>2273494.7140638195</v>
      </c>
      <c r="M23" s="1">
        <f>L23/(1.07^21)</f>
        <v>549078.72608502221</v>
      </c>
      <c r="O23" s="22"/>
    </row>
    <row r="24" spans="1:15" x14ac:dyDescent="0.25">
      <c r="J24">
        <v>2044</v>
      </c>
      <c r="K24">
        <v>23</v>
      </c>
      <c r="L24" s="1">
        <f>$G$23+($I$23*21)</f>
        <v>2332746.5453529698</v>
      </c>
      <c r="M24" s="1">
        <f>L24/(1.07^22)</f>
        <v>526531.60631287587</v>
      </c>
      <c r="O24" s="22"/>
    </row>
    <row r="25" spans="1:15" ht="15.75" thickBot="1" x14ac:dyDescent="0.3">
      <c r="D25" s="4"/>
      <c r="H25" s="300"/>
      <c r="I25" s="300"/>
      <c r="J25">
        <v>2045</v>
      </c>
      <c r="K25">
        <v>24</v>
      </c>
      <c r="L25" s="1">
        <f>$G$23+($I$23*22)</f>
        <v>2391998.3766421201</v>
      </c>
      <c r="M25" s="1">
        <f>L25/(1.07^23)</f>
        <v>504584.60251946206</v>
      </c>
      <c r="O25" s="22"/>
    </row>
    <row r="26" spans="1:15" ht="15.75" thickBot="1" x14ac:dyDescent="0.3">
      <c r="F26" s="2"/>
      <c r="G26" s="3"/>
      <c r="J26" s="258" t="s">
        <v>743</v>
      </c>
      <c r="K26" s="238"/>
      <c r="L26" s="270">
        <f>SUM(L4:L25)</f>
        <v>38936791.25833296</v>
      </c>
      <c r="M26" s="271">
        <f>SUM(M2:M25)</f>
        <v>16686638.615408197</v>
      </c>
      <c r="O26" s="23"/>
    </row>
    <row r="27" spans="1:15" x14ac:dyDescent="0.25">
      <c r="A27" s="167" t="s">
        <v>13</v>
      </c>
      <c r="F27" s="2"/>
      <c r="G27" s="4"/>
      <c r="H27" s="2"/>
      <c r="I27" s="3"/>
    </row>
    <row r="28" spans="1:15" x14ac:dyDescent="0.25">
      <c r="A28" s="174" t="s">
        <v>673</v>
      </c>
      <c r="G28" s="4"/>
      <c r="H28" s="4"/>
    </row>
    <row r="29" spans="1:15" x14ac:dyDescent="0.25">
      <c r="A29" s="24" t="s">
        <v>674</v>
      </c>
      <c r="G29" s="4"/>
      <c r="H29" s="4"/>
    </row>
    <row r="30" spans="1:15" ht="17.25" x14ac:dyDescent="0.25">
      <c r="A30" s="5" t="s">
        <v>675</v>
      </c>
      <c r="G30" s="4"/>
      <c r="H30" s="4"/>
    </row>
    <row r="31" spans="1:15" x14ac:dyDescent="0.25">
      <c r="A31" s="167" t="s">
        <v>676</v>
      </c>
      <c r="G31" s="4"/>
      <c r="H31" s="4"/>
    </row>
    <row r="32" spans="1:15" x14ac:dyDescent="0.25">
      <c r="A32" s="167"/>
      <c r="G32" s="4"/>
      <c r="H32" s="4"/>
    </row>
    <row r="33" spans="1:8" x14ac:dyDescent="0.25">
      <c r="A33" s="167" t="s">
        <v>37</v>
      </c>
      <c r="G33" s="4"/>
      <c r="H33" s="4"/>
    </row>
    <row r="34" spans="1:8" x14ac:dyDescent="0.25">
      <c r="A34" s="167" t="s">
        <v>553</v>
      </c>
      <c r="G34" s="4"/>
      <c r="H34" s="4"/>
    </row>
    <row r="35" spans="1:8" x14ac:dyDescent="0.25">
      <c r="A35" s="167" t="s">
        <v>38</v>
      </c>
      <c r="G35" s="4"/>
      <c r="H35" s="4"/>
    </row>
    <row r="36" spans="1:8" x14ac:dyDescent="0.25">
      <c r="A36" s="167" t="s">
        <v>39</v>
      </c>
      <c r="G36" s="4"/>
      <c r="H36" s="4"/>
    </row>
    <row r="37" spans="1:8" x14ac:dyDescent="0.25">
      <c r="A37" s="167"/>
      <c r="G37" s="4"/>
      <c r="H37" s="4"/>
    </row>
    <row r="38" spans="1:8" x14ac:dyDescent="0.25">
      <c r="A38" s="167" t="s">
        <v>680</v>
      </c>
      <c r="G38" s="4"/>
      <c r="H38" s="4"/>
    </row>
    <row r="39" spans="1:8" x14ac:dyDescent="0.25">
      <c r="A39" s="167" t="s">
        <v>681</v>
      </c>
      <c r="G39" s="4"/>
      <c r="H39" s="4"/>
    </row>
    <row r="40" spans="1:8" x14ac:dyDescent="0.25">
      <c r="G40" s="4"/>
      <c r="H40" s="4"/>
    </row>
    <row r="41" spans="1:8" x14ac:dyDescent="0.25">
      <c r="G41" s="4"/>
      <c r="H41" s="4"/>
    </row>
    <row r="42" spans="1:8" x14ac:dyDescent="0.25">
      <c r="G42" s="4"/>
      <c r="H42" s="4"/>
    </row>
    <row r="43" spans="1:8" x14ac:dyDescent="0.25">
      <c r="G43" s="4"/>
      <c r="H43" s="4"/>
    </row>
    <row r="44" spans="1:8" x14ac:dyDescent="0.25">
      <c r="G44" s="4"/>
      <c r="H44" s="4"/>
    </row>
    <row r="45" spans="1:8" x14ac:dyDescent="0.25">
      <c r="G45" s="4"/>
      <c r="H45" s="4"/>
    </row>
    <row r="46" spans="1:8" x14ac:dyDescent="0.25">
      <c r="G46" s="4"/>
      <c r="H46" s="4"/>
    </row>
    <row r="47" spans="1:8" x14ac:dyDescent="0.25">
      <c r="H47" s="4"/>
    </row>
  </sheetData>
  <mergeCells count="3">
    <mergeCell ref="F19:G19"/>
    <mergeCell ref="H19:I19"/>
    <mergeCell ref="H25:I2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BCA Result Summary</vt:lpstr>
      <vt:lpstr>BCA Inputs</vt:lpstr>
      <vt:lpstr>Safety Analysis</vt:lpstr>
      <vt:lpstr>Pedestrian Facility</vt:lpstr>
      <vt:lpstr>Mortality Reduction Benefit</vt:lpstr>
      <vt:lpstr>Railroad Safety</vt:lpstr>
      <vt:lpstr>Railroad AADT</vt:lpstr>
      <vt:lpstr>Railroad O&amp;M</vt:lpstr>
      <vt:lpstr>TravelTime I44_MO360</vt:lpstr>
      <vt:lpstr>TravelTime MO360_US60</vt:lpstr>
      <vt:lpstr>Emissions</vt:lpstr>
      <vt:lpstr>O&amp;M Costs</vt:lpstr>
      <vt:lpstr>Analysis Parameters</vt:lpstr>
      <vt:lpstr>Crash Stats</vt:lpstr>
      <vt:lpstr>TDM Existing</vt:lpstr>
      <vt:lpstr>TDM Project Build</vt:lpstr>
      <vt:lpstr>TDM MM Volumes</vt:lpstr>
      <vt:lpstr>O&amp;M Base Data</vt:lpstr>
      <vt:lpstr>LOTTR</vt:lpstr>
      <vt:lpstr>Agglomeration Economics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Faucett</dc:creator>
  <cp:lastModifiedBy>Debbie Parks</cp:lastModifiedBy>
  <cp:lastPrinted>2022-03-30T15:40:10Z</cp:lastPrinted>
  <dcterms:created xsi:type="dcterms:W3CDTF">2017-10-04T19:49:29Z</dcterms:created>
  <dcterms:modified xsi:type="dcterms:W3CDTF">2022-04-11T21:18:35Z</dcterms:modified>
</cp:coreProperties>
</file>